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90" windowWidth="16380" windowHeight="8190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0" hidden="1">'Исходные данные'!$A$10:$HY$26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данные'!$B$9:$H$22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данные'!$B$1:$H$19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данные'!$A$1:$K$27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9" i="2"/>
  <c r="GM24" i="4" l="1"/>
  <c r="E23" i="2" l="1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10" i="2" l="1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9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19" i="2" l="1"/>
  <c r="C23" i="2"/>
  <c r="C9" i="2"/>
  <c r="C11" i="2"/>
  <c r="C10" i="2"/>
  <c r="C15" i="2"/>
  <c r="C22" i="2"/>
  <c r="C18" i="2"/>
  <c r="C14" i="2"/>
  <c r="C21" i="2"/>
  <c r="C13" i="2"/>
  <c r="C17" i="2"/>
  <c r="C20" i="2"/>
  <c r="C16" i="2"/>
  <c r="C12" i="2"/>
  <c r="I22" i="4" l="1"/>
  <c r="I23" i="4"/>
  <c r="H22" i="4"/>
  <c r="H23" i="4"/>
  <c r="D26" i="1" l="1"/>
  <c r="C26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I9" i="4" l="1"/>
  <c r="D24" i="4" l="1"/>
  <c r="E24" i="4"/>
  <c r="B7" i="4"/>
  <c r="C7" i="4" s="1"/>
  <c r="D7" i="4" s="1"/>
  <c r="E7" i="4" s="1"/>
  <c r="F7" i="4" s="1"/>
  <c r="G7" i="4" s="1"/>
  <c r="H7" i="4" s="1"/>
  <c r="I7" i="4" s="1"/>
  <c r="J7" i="4" s="1"/>
  <c r="K7" i="4" s="1"/>
  <c r="G24" i="4"/>
  <c r="H9" i="4"/>
  <c r="B8" i="2"/>
  <c r="C8" i="2" s="1"/>
  <c r="D8" i="2" s="1"/>
  <c r="E8" i="2" s="1"/>
  <c r="H24" i="4" l="1"/>
  <c r="K22" i="4" s="1"/>
  <c r="L23" i="4"/>
  <c r="L22" i="4"/>
  <c r="L7" i="4"/>
  <c r="F24" i="4"/>
  <c r="F8" i="2"/>
  <c r="L21" i="4"/>
  <c r="G8" i="2" l="1"/>
  <c r="H8" i="2"/>
  <c r="K23" i="4"/>
  <c r="M7" i="4"/>
  <c r="N7" i="4" s="1"/>
  <c r="O7" i="4" s="1"/>
  <c r="P7" i="4" s="1"/>
  <c r="Q7" i="4" s="1"/>
  <c r="R7" i="4" s="1"/>
  <c r="S7" i="4" s="1"/>
  <c r="J24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9" i="4" l="1"/>
  <c r="M23" i="4"/>
  <c r="L24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12" i="4"/>
  <c r="M15" i="4"/>
  <c r="M20" i="4"/>
  <c r="N24" i="4" l="1"/>
  <c r="Z7" i="4"/>
  <c r="AA7" i="4" s="1"/>
  <c r="AB7" i="4" s="1"/>
  <c r="AC7" i="4" s="1"/>
  <c r="AD7" i="4" s="1"/>
  <c r="AE7" i="4" s="1"/>
  <c r="O10" i="4" l="1"/>
  <c r="O9" i="4"/>
  <c r="O22" i="4"/>
  <c r="P22" i="4" s="1"/>
  <c r="O23" i="4"/>
  <c r="P23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P10" i="4"/>
  <c r="P9" i="4"/>
  <c r="P24" i="4" l="1"/>
  <c r="AL7" i="4"/>
  <c r="AM7" i="4" s="1"/>
  <c r="AN7" i="4" s="1"/>
  <c r="AO7" i="4" s="1"/>
  <c r="AP7" i="4" s="1"/>
  <c r="AQ7" i="4" s="1"/>
  <c r="Q23" i="4" l="1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T9" i="4" l="1"/>
  <c r="Q24" i="4"/>
  <c r="T22" i="4"/>
  <c r="T23" i="4"/>
  <c r="AX7" i="4"/>
  <c r="AY7" i="4" s="1"/>
  <c r="AZ7" i="4" s="1"/>
  <c r="BA7" i="4" s="1"/>
  <c r="BB7" i="4" s="1"/>
  <c r="BC7" i="4" s="1"/>
  <c r="T12" i="4"/>
  <c r="T18" i="4"/>
  <c r="T11" i="4"/>
  <c r="T16" i="4"/>
  <c r="T19" i="4"/>
  <c r="T17" i="4"/>
  <c r="T15" i="4"/>
  <c r="T10" i="4"/>
  <c r="T13" i="4"/>
  <c r="T21" i="4"/>
  <c r="T14" i="4"/>
  <c r="T20" i="4"/>
  <c r="S24" i="4" l="1"/>
  <c r="BD7" i="4"/>
  <c r="BE7" i="4" s="1"/>
  <c r="BF7" i="4" s="1"/>
  <c r="BG7" i="4" s="1"/>
  <c r="BH7" i="4" s="1"/>
  <c r="BI7" i="4" s="1"/>
  <c r="R24" i="4"/>
  <c r="BJ7" i="4" l="1"/>
  <c r="BK7" i="4" s="1"/>
  <c r="BL7" i="4" s="1"/>
  <c r="BM7" i="4" s="1"/>
  <c r="BN7" i="4" s="1"/>
  <c r="BO7" i="4" s="1"/>
  <c r="U17" i="4" l="1"/>
  <c r="V17" i="4" s="1"/>
  <c r="U23" i="4"/>
  <c r="V23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4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Z9" i="4" s="1"/>
  <c r="W10" i="4"/>
  <c r="Z23" i="4" l="1"/>
  <c r="W24" i="4"/>
  <c r="Z22" i="4"/>
  <c r="Z13" i="4"/>
  <c r="Z12" i="4"/>
  <c r="Z11" i="4"/>
  <c r="Z16" i="4"/>
  <c r="Z17" i="4"/>
  <c r="Z21" i="4"/>
  <c r="Z18" i="4"/>
  <c r="Z19" i="4"/>
  <c r="Z10" i="4"/>
  <c r="Z15" i="4"/>
  <c r="Z14" i="4"/>
  <c r="Z20" i="4"/>
  <c r="Y24" i="4" l="1"/>
  <c r="X24" i="4"/>
  <c r="AA23" i="4" l="1"/>
  <c r="AB23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4" i="4" l="1"/>
  <c r="AC23" i="4" l="1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3" i="4" l="1"/>
  <c r="AC24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24" i="4" l="1"/>
  <c r="AD24" i="4"/>
  <c r="AG17" i="4" l="1"/>
  <c r="AH17" i="4" s="1"/>
  <c r="AG23" i="4"/>
  <c r="AH23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4" i="4" l="1"/>
  <c r="AI22" i="4" l="1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24" i="4" l="1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24" i="4" l="1"/>
  <c r="AJ24" i="4"/>
  <c r="AM22" i="4" l="1"/>
  <c r="AN22" i="4" s="1"/>
  <c r="AM23" i="4"/>
  <c r="AN23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4" i="4" l="1"/>
  <c r="AO22" i="4" s="1"/>
  <c r="AR22" i="4" l="1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24" i="4" l="1"/>
  <c r="AR23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24" i="4" l="1"/>
  <c r="AP24" i="4"/>
  <c r="AS21" i="4" l="1"/>
  <c r="AT21" i="4" s="1"/>
  <c r="AS23" i="4"/>
  <c r="AT23" i="4" s="1"/>
  <c r="AS22" i="4"/>
  <c r="AT2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4" i="4" l="1"/>
  <c r="AU22" i="4" l="1"/>
  <c r="AU23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2" i="4" l="1"/>
  <c r="AU24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24" i="4" l="1"/>
  <c r="AV24" i="4"/>
  <c r="AY22" i="4" l="1"/>
  <c r="AZ22" i="4" s="1"/>
  <c r="AY23" i="4"/>
  <c r="AZ23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4" i="4" l="1"/>
  <c r="BA22" i="4" l="1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24" i="4" l="1"/>
  <c r="BD23" i="4"/>
  <c r="BD22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24" i="4" l="1"/>
  <c r="BB24" i="4"/>
  <c r="BE23" i="4" l="1"/>
  <c r="BF23" i="4" s="1"/>
  <c r="BE22" i="4"/>
  <c r="BF2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4" i="4" l="1"/>
  <c r="BG23" i="4" l="1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24" i="4" l="1"/>
  <c r="BJ23" i="4"/>
  <c r="BJ22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24" i="4" l="1"/>
  <c r="BH24" i="4"/>
  <c r="BK23" i="4" l="1"/>
  <c r="BL23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4" i="4" l="1"/>
  <c r="BM22" i="4" l="1"/>
  <c r="BM23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24" i="4" l="1"/>
  <c r="BP22" i="4"/>
  <c r="BP23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4" i="4" l="1"/>
  <c r="BN24" i="4"/>
  <c r="BQ23" i="4" l="1"/>
  <c r="BR23" i="4" s="1"/>
  <c r="BQ22" i="4"/>
  <c r="BR2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4" i="4" l="1"/>
  <c r="BS23" i="4" l="1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3" i="4" l="1"/>
  <c r="BS24" i="4"/>
  <c r="BT24" i="4" s="1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24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24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2" i="4"/>
  <c r="BY23" i="4"/>
  <c r="CB14" i="4" l="1"/>
  <c r="CB13" i="4"/>
  <c r="CB21" i="4"/>
  <c r="CB20" i="4"/>
  <c r="CB17" i="4"/>
  <c r="CB23" i="4"/>
  <c r="CB16" i="4"/>
  <c r="CB18" i="4"/>
  <c r="CB15" i="4"/>
  <c r="CB22" i="4"/>
  <c r="CB10" i="4"/>
  <c r="CB12" i="4"/>
  <c r="CB9" i="4"/>
  <c r="BY24" i="4"/>
  <c r="BZ24" i="4" s="1"/>
  <c r="CA24" i="4" l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3" i="4"/>
  <c r="CD23" i="4" s="1"/>
  <c r="CC21" i="4"/>
  <c r="CD21" i="4" s="1"/>
  <c r="CC11" i="4"/>
  <c r="CD11" i="4" s="1"/>
  <c r="CC20" i="4"/>
  <c r="CD20" i="4" s="1"/>
  <c r="CC18" i="4"/>
  <c r="CD18" i="4" s="1"/>
  <c r="CD24" i="4" l="1"/>
  <c r="CE9" i="4" s="1"/>
  <c r="CH9" i="4" l="1"/>
  <c r="CE20" i="4"/>
  <c r="CE23" i="4"/>
  <c r="CH23" i="4" s="1"/>
  <c r="CE10" i="4"/>
  <c r="CE18" i="4"/>
  <c r="CH18" i="4" s="1"/>
  <c r="CE12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19" i="4"/>
  <c r="CH11" i="4"/>
  <c r="CH14" i="4"/>
  <c r="CH13" i="4"/>
  <c r="CH16" i="4"/>
  <c r="CH10" i="4"/>
  <c r="CH20" i="4"/>
  <c r="CE24" i="4"/>
  <c r="CF24" i="4" s="1"/>
  <c r="CG24" i="4" l="1"/>
  <c r="CI23" i="4" l="1"/>
  <c r="CJ23" i="4" s="1"/>
  <c r="CI19" i="4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22" i="4"/>
  <c r="CJ22" i="4" s="1"/>
  <c r="CI9" i="4"/>
  <c r="CJ9" i="4" s="1"/>
  <c r="CI13" i="4"/>
  <c r="CJ13" i="4" s="1"/>
  <c r="CI12" i="4"/>
  <c r="CJ12" i="4" s="1"/>
  <c r="CI11" i="4"/>
  <c r="CJ11" i="4" s="1"/>
  <c r="CJ24" i="4" l="1"/>
  <c r="CK9" i="4" s="1"/>
  <c r="CN9" i="4" s="1"/>
  <c r="CK22" i="4" l="1"/>
  <c r="CN22" i="4" s="1"/>
  <c r="CK21" i="4"/>
  <c r="CN21" i="4" s="1"/>
  <c r="CK20" i="4"/>
  <c r="CN20" i="4" s="1"/>
  <c r="CK18" i="4"/>
  <c r="CN18" i="4" s="1"/>
  <c r="CK13" i="4"/>
  <c r="CN13" i="4" s="1"/>
  <c r="CK19" i="4"/>
  <c r="CN19" i="4" s="1"/>
  <c r="CK17" i="4"/>
  <c r="CN17" i="4" s="1"/>
  <c r="CK16" i="4"/>
  <c r="CN16" i="4" s="1"/>
  <c r="CK10" i="4"/>
  <c r="CN10" i="4" s="1"/>
  <c r="CK11" i="4"/>
  <c r="CN11" i="4" s="1"/>
  <c r="CK14" i="4"/>
  <c r="CN14" i="4" s="1"/>
  <c r="CK12" i="4"/>
  <c r="CN12" i="4" s="1"/>
  <c r="CK23" i="4"/>
  <c r="CN23" i="4" s="1"/>
  <c r="CK15" i="4"/>
  <c r="CK24" i="4" l="1"/>
  <c r="CL24" i="4" s="1"/>
  <c r="CN15" i="4"/>
  <c r="CM24" i="4"/>
  <c r="CO22" i="4" s="1"/>
  <c r="CP22" i="4" s="1"/>
  <c r="CO15" i="4" l="1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O23" i="4"/>
  <c r="CP23" i="4" s="1"/>
  <c r="CP24" i="4" l="1"/>
  <c r="CQ17" i="4" s="1"/>
  <c r="CT17" i="4" s="1"/>
  <c r="CQ22" i="4" l="1"/>
  <c r="CT22" i="4" s="1"/>
  <c r="CQ14" i="4"/>
  <c r="CT14" i="4" s="1"/>
  <c r="CQ23" i="4"/>
  <c r="CT23" i="4" s="1"/>
  <c r="CQ12" i="4"/>
  <c r="CT12" i="4" s="1"/>
  <c r="CQ21" i="4"/>
  <c r="CT21" i="4" s="1"/>
  <c r="CQ18" i="4"/>
  <c r="CT18" i="4" s="1"/>
  <c r="CQ15" i="4"/>
  <c r="CT15" i="4" s="1"/>
  <c r="CQ13" i="4"/>
  <c r="CT13" i="4" s="1"/>
  <c r="CQ10" i="4"/>
  <c r="CT10" i="4" s="1"/>
  <c r="CQ20" i="4"/>
  <c r="CT20" i="4" s="1"/>
  <c r="CQ19" i="4"/>
  <c r="CT19" i="4" s="1"/>
  <c r="CQ9" i="4"/>
  <c r="CQ16" i="4"/>
  <c r="CT16" i="4" s="1"/>
  <c r="CQ11" i="4"/>
  <c r="CT11" i="4" s="1"/>
  <c r="CQ24" i="4" l="1"/>
  <c r="CR24" i="4" s="1"/>
  <c r="CT9" i="4"/>
  <c r="CS24" i="4" s="1"/>
  <c r="CU18" i="4" l="1"/>
  <c r="CV18" i="4" s="1"/>
  <c r="CU17" i="4"/>
  <c r="CV17" i="4" s="1"/>
  <c r="CU19" i="4"/>
  <c r="CV19" i="4" s="1"/>
  <c r="CU9" i="4"/>
  <c r="CV9" i="4" s="1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12" i="4"/>
  <c r="CV12" i="4" s="1"/>
  <c r="CU10" i="4"/>
  <c r="CV10" i="4" s="1"/>
  <c r="CV24" i="4" l="1"/>
  <c r="CW9" i="4" s="1"/>
  <c r="CZ9" i="4" s="1"/>
  <c r="CW18" i="4" l="1"/>
  <c r="CZ18" i="4" s="1"/>
  <c r="CW22" i="4"/>
  <c r="CZ22" i="4" s="1"/>
  <c r="CW23" i="4"/>
  <c r="CW20" i="4"/>
  <c r="CZ20" i="4" s="1"/>
  <c r="CW11" i="4"/>
  <c r="CZ11" i="4" s="1"/>
  <c r="CW14" i="4"/>
  <c r="CZ14" i="4" s="1"/>
  <c r="CW13" i="4"/>
  <c r="CZ13" i="4" s="1"/>
  <c r="CW12" i="4"/>
  <c r="CZ12" i="4" s="1"/>
  <c r="CW16" i="4"/>
  <c r="CZ16" i="4" s="1"/>
  <c r="CW15" i="4"/>
  <c r="CW19" i="4"/>
  <c r="CZ19" i="4" s="1"/>
  <c r="CW21" i="4"/>
  <c r="CZ21" i="4" s="1"/>
  <c r="CW10" i="4"/>
  <c r="CZ10" i="4" s="1"/>
  <c r="CW17" i="4"/>
  <c r="CZ17" i="4" s="1"/>
  <c r="CZ23" i="4"/>
  <c r="CW24" i="4" l="1"/>
  <c r="CX24" i="4" s="1"/>
  <c r="CZ15" i="4"/>
  <c r="CY24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4" i="4" l="1"/>
  <c r="DC12" i="4" s="1"/>
  <c r="DF12" i="4" l="1"/>
  <c r="DC18" i="4"/>
  <c r="DC19" i="4"/>
  <c r="DC20" i="4"/>
  <c r="DC11" i="4"/>
  <c r="DC14" i="4"/>
  <c r="DC9" i="4"/>
  <c r="DC17" i="4"/>
  <c r="DF17" i="4" s="1"/>
  <c r="DC15" i="4"/>
  <c r="DC21" i="4"/>
  <c r="DC13" i="4"/>
  <c r="DC23" i="4"/>
  <c r="DC16" i="4"/>
  <c r="DC22" i="4"/>
  <c r="DC10" i="4"/>
  <c r="DF19" i="4"/>
  <c r="DF20" i="4" l="1"/>
  <c r="DF22" i="4"/>
  <c r="DF9" i="4"/>
  <c r="DF10" i="4"/>
  <c r="DF21" i="4"/>
  <c r="DF11" i="4"/>
  <c r="DF23" i="4"/>
  <c r="DF16" i="4"/>
  <c r="DF13" i="4"/>
  <c r="DF15" i="4"/>
  <c r="DF14" i="4"/>
  <c r="DF18" i="4"/>
  <c r="DC24" i="4"/>
  <c r="DD24" i="4" s="1"/>
  <c r="DE24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22" i="4"/>
  <c r="DH22" i="4" s="1"/>
  <c r="DG18" i="4"/>
  <c r="DH18" i="4" s="1"/>
  <c r="DG23" i="4"/>
  <c r="DH23" i="4" s="1"/>
  <c r="DG21" i="4"/>
  <c r="DH21" i="4" s="1"/>
  <c r="DH24" i="4" l="1"/>
  <c r="DI15" i="4" s="1"/>
  <c r="DL15" i="4" s="1"/>
  <c r="DI23" i="4" l="1"/>
  <c r="DL23" i="4" s="1"/>
  <c r="DI11" i="4"/>
  <c r="DL11" i="4" s="1"/>
  <c r="DI16" i="4"/>
  <c r="DL16" i="4" s="1"/>
  <c r="DI18" i="4"/>
  <c r="DL18" i="4" s="1"/>
  <c r="DI21" i="4"/>
  <c r="DL21" i="4" s="1"/>
  <c r="DI14" i="4"/>
  <c r="DL14" i="4" s="1"/>
  <c r="DI17" i="4"/>
  <c r="DL17" i="4" s="1"/>
  <c r="DI22" i="4"/>
  <c r="DL22" i="4" s="1"/>
  <c r="DI12" i="4"/>
  <c r="DL12" i="4" s="1"/>
  <c r="DI13" i="4"/>
  <c r="DL13" i="4" s="1"/>
  <c r="DI10" i="4"/>
  <c r="DL10" i="4" s="1"/>
  <c r="DI19" i="4"/>
  <c r="DL19" i="4" s="1"/>
  <c r="DI20" i="4"/>
  <c r="DL20" i="4" s="1"/>
  <c r="DI9" i="4"/>
  <c r="DL9" i="4" s="1"/>
  <c r="DI24" i="4" l="1"/>
  <c r="DJ24" i="4" s="1"/>
  <c r="DK24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22" i="4"/>
  <c r="DN22" i="4" s="1"/>
  <c r="DM13" i="4"/>
  <c r="DN13" i="4" s="1"/>
  <c r="DM12" i="4"/>
  <c r="DN12" i="4" s="1"/>
  <c r="DM21" i="4"/>
  <c r="DN21" i="4" s="1"/>
  <c r="DM23" i="4"/>
  <c r="DN23" i="4" s="1"/>
  <c r="DM19" i="4"/>
  <c r="DN19" i="4" s="1"/>
  <c r="DM17" i="4"/>
  <c r="DN17" i="4" s="1"/>
  <c r="DM9" i="4"/>
  <c r="DN9" i="4" s="1"/>
  <c r="DN24" i="4" l="1"/>
  <c r="DO13" i="4" s="1"/>
  <c r="DO19" i="4" l="1"/>
  <c r="DR19" i="4" s="1"/>
  <c r="DO12" i="4"/>
  <c r="DR12" i="4" s="1"/>
  <c r="DO9" i="4"/>
  <c r="DR9" i="4" s="1"/>
  <c r="DO16" i="4"/>
  <c r="DR16" i="4" s="1"/>
  <c r="DO14" i="4"/>
  <c r="DR14" i="4" s="1"/>
  <c r="DO20" i="4"/>
  <c r="DR20" i="4" s="1"/>
  <c r="DO15" i="4"/>
  <c r="DO22" i="4"/>
  <c r="DR22" i="4" s="1"/>
  <c r="DO11" i="4"/>
  <c r="DR11" i="4" s="1"/>
  <c r="DO23" i="4"/>
  <c r="DR23" i="4" s="1"/>
  <c r="DO17" i="4"/>
  <c r="DR17" i="4" s="1"/>
  <c r="DO18" i="4"/>
  <c r="DR18" i="4" s="1"/>
  <c r="DO21" i="4"/>
  <c r="DR21" i="4" s="1"/>
  <c r="DO10" i="4"/>
  <c r="DR10" i="4" s="1"/>
  <c r="DR15" i="4"/>
  <c r="DR13" i="4"/>
  <c r="DO24" i="4" l="1"/>
  <c r="DP24" i="4" s="1"/>
  <c r="DQ24" i="4"/>
  <c r="DS23" i="4" s="1"/>
  <c r="DT23" i="4" s="1"/>
  <c r="DS10" i="4" l="1"/>
  <c r="DT10" i="4" s="1"/>
  <c r="DS21" i="4"/>
  <c r="DT21" i="4" s="1"/>
  <c r="DS13" i="4"/>
  <c r="DT13" i="4" s="1"/>
  <c r="DS11" i="4"/>
  <c r="DT11" i="4" s="1"/>
  <c r="DS16" i="4"/>
  <c r="DT16" i="4" s="1"/>
  <c r="DS22" i="4"/>
  <c r="DT22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4" i="4" l="1"/>
  <c r="DU11" i="4" s="1"/>
  <c r="DX11" i="4" s="1"/>
  <c r="DU23" i="4" l="1"/>
  <c r="DU20" i="4"/>
  <c r="DU12" i="4"/>
  <c r="DX12" i="4" s="1"/>
  <c r="DU13" i="4"/>
  <c r="DX13" i="4" s="1"/>
  <c r="DU21" i="4"/>
  <c r="DX21" i="4" s="1"/>
  <c r="DU17" i="4"/>
  <c r="DX17" i="4" s="1"/>
  <c r="DU9" i="4"/>
  <c r="DX9" i="4" s="1"/>
  <c r="DU16" i="4"/>
  <c r="DX16" i="4" s="1"/>
  <c r="DU19" i="4"/>
  <c r="DX19" i="4" s="1"/>
  <c r="DU18" i="4"/>
  <c r="DX18" i="4" s="1"/>
  <c r="DU22" i="4"/>
  <c r="DX22" i="4" s="1"/>
  <c r="DU14" i="4"/>
  <c r="DX14" i="4" s="1"/>
  <c r="DU15" i="4"/>
  <c r="DX15" i="4" s="1"/>
  <c r="DU10" i="4"/>
  <c r="DX10" i="4" s="1"/>
  <c r="DX23" i="4"/>
  <c r="DX20" i="4"/>
  <c r="DU24" i="4" l="1"/>
  <c r="DV24" i="4" s="1"/>
  <c r="DW24" i="4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Y23" i="4"/>
  <c r="DZ23" i="4" s="1"/>
  <c r="DZ24" i="4" l="1"/>
  <c r="EA12" i="4" l="1"/>
  <c r="EA18" i="4"/>
  <c r="EA16" i="4"/>
  <c r="EA9" i="4"/>
  <c r="EA14" i="4"/>
  <c r="EA10" i="4"/>
  <c r="EA13" i="4"/>
  <c r="EA21" i="4"/>
  <c r="EA15" i="4"/>
  <c r="EA11" i="4"/>
  <c r="EA20" i="4"/>
  <c r="EA23" i="4"/>
  <c r="EA22" i="4"/>
  <c r="EA17" i="4"/>
  <c r="EA19" i="4"/>
  <c r="ED15" i="4" l="1"/>
  <c r="ED22" i="4"/>
  <c r="ED10" i="4"/>
  <c r="ED9" i="4"/>
  <c r="ED12" i="4"/>
  <c r="ED17" i="4"/>
  <c r="ED19" i="4"/>
  <c r="ED23" i="4"/>
  <c r="ED11" i="4"/>
  <c r="ED13" i="4"/>
  <c r="ED18" i="4"/>
  <c r="ED20" i="4"/>
  <c r="ED21" i="4"/>
  <c r="ED14" i="4"/>
  <c r="ED16" i="4"/>
  <c r="EA24" i="4"/>
  <c r="EB24" i="4" s="1"/>
  <c r="EC24" i="4" l="1"/>
  <c r="EE22" i="4" s="1"/>
  <c r="EF22" i="4" s="1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24" i="4" l="1"/>
  <c r="EG9" i="4" l="1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3" i="4"/>
  <c r="EJ21" i="4"/>
  <c r="EJ14" i="4"/>
  <c r="EJ20" i="4"/>
  <c r="EJ12" i="4"/>
  <c r="EJ13" i="4"/>
  <c r="EJ22" i="4"/>
  <c r="EJ9" i="4"/>
  <c r="EG24" i="4"/>
  <c r="EH24" i="4" s="1"/>
  <c r="EJ11" i="4"/>
  <c r="EI24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10" i="4"/>
  <c r="EL10" i="4" s="1"/>
  <c r="EK15" i="4"/>
  <c r="EL15" i="4" s="1"/>
  <c r="EK23" i="4"/>
  <c r="EL23" i="4" s="1"/>
  <c r="EK20" i="4"/>
  <c r="EL20" i="4" s="1"/>
  <c r="EK19" i="4"/>
  <c r="EL19" i="4" s="1"/>
  <c r="EK17" i="4"/>
  <c r="EL17" i="4" s="1"/>
  <c r="EL24" i="4" l="1"/>
  <c r="EM11" i="4" l="1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4" i="4" l="1"/>
  <c r="EN24" i="4" s="1"/>
  <c r="EP23" i="4"/>
  <c r="EP12" i="4"/>
  <c r="EO24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23" i="4"/>
  <c r="ER23" i="4" s="1"/>
  <c r="EQ19" i="4"/>
  <c r="ER19" i="4" s="1"/>
  <c r="EQ17" i="4"/>
  <c r="ER17" i="4" s="1"/>
  <c r="EQ22" i="4"/>
  <c r="ER22" i="4" s="1"/>
  <c r="EQ21" i="4"/>
  <c r="ER21" i="4" s="1"/>
  <c r="ER24" i="4" l="1"/>
  <c r="ES12" i="4" s="1"/>
  <c r="EV12" i="4" s="1"/>
  <c r="ES11" i="4" l="1"/>
  <c r="EV11" i="4" s="1"/>
  <c r="ES19" i="4"/>
  <c r="EV19" i="4" s="1"/>
  <c r="ES15" i="4"/>
  <c r="EV15" i="4" s="1"/>
  <c r="ES16" i="4"/>
  <c r="EV16" i="4" s="1"/>
  <c r="ES14" i="4"/>
  <c r="EV14" i="4" s="1"/>
  <c r="ES18" i="4"/>
  <c r="EV18" i="4" s="1"/>
  <c r="ES13" i="4"/>
  <c r="EV13" i="4" s="1"/>
  <c r="ES21" i="4"/>
  <c r="EV21" i="4" s="1"/>
  <c r="ES17" i="4"/>
  <c r="EV17" i="4" s="1"/>
  <c r="ES23" i="4"/>
  <c r="EV23" i="4" s="1"/>
  <c r="ES20" i="4"/>
  <c r="EV20" i="4" s="1"/>
  <c r="ES22" i="4"/>
  <c r="EV22" i="4" s="1"/>
  <c r="ES10" i="4"/>
  <c r="EV10" i="4" s="1"/>
  <c r="ES9" i="4"/>
  <c r="ES24" i="4" l="1"/>
  <c r="ET24" i="4" s="1"/>
  <c r="EV9" i="4"/>
  <c r="EU24" i="4" s="1"/>
  <c r="EW12" i="4" s="1"/>
  <c r="EX12" i="4" s="1"/>
  <c r="EW15" i="4" l="1"/>
  <c r="EX15" i="4" s="1"/>
  <c r="EW14" i="4"/>
  <c r="EX14" i="4" s="1"/>
  <c r="EW13" i="4"/>
  <c r="EX13" i="4" s="1"/>
  <c r="EW16" i="4"/>
  <c r="EX16" i="4" s="1"/>
  <c r="EW19" i="4"/>
  <c r="EX19" i="4" s="1"/>
  <c r="EW18" i="4"/>
  <c r="EX18" i="4" s="1"/>
  <c r="EW17" i="4"/>
  <c r="EX17" i="4" s="1"/>
  <c r="EW20" i="4"/>
  <c r="EX20" i="4" s="1"/>
  <c r="EW23" i="4"/>
  <c r="EX23" i="4" s="1"/>
  <c r="EW22" i="4"/>
  <c r="EX22" i="4" s="1"/>
  <c r="EW21" i="4"/>
  <c r="EX21" i="4" s="1"/>
  <c r="EW11" i="4"/>
  <c r="EX11" i="4" s="1"/>
  <c r="EW10" i="4"/>
  <c r="EX10" i="4" s="1"/>
  <c r="EW9" i="4"/>
  <c r="EX9" i="4" s="1"/>
  <c r="EX24" i="4" l="1"/>
  <c r="EY13" i="4" s="1"/>
  <c r="EY18" i="4" l="1"/>
  <c r="FB18" i="4" s="1"/>
  <c r="EY11" i="4"/>
  <c r="FB11" i="4" s="1"/>
  <c r="EY14" i="4"/>
  <c r="FB14" i="4" s="1"/>
  <c r="EY19" i="4"/>
  <c r="FB19" i="4" s="1"/>
  <c r="EY15" i="4"/>
  <c r="FB15" i="4" s="1"/>
  <c r="EY10" i="4"/>
  <c r="EY20" i="4"/>
  <c r="FB20" i="4" s="1"/>
  <c r="EY21" i="4"/>
  <c r="FB21" i="4" s="1"/>
  <c r="EY23" i="4"/>
  <c r="FB23" i="4" s="1"/>
  <c r="EY16" i="4"/>
  <c r="FB16" i="4" s="1"/>
  <c r="EY17" i="4"/>
  <c r="FB17" i="4" s="1"/>
  <c r="EY9" i="4"/>
  <c r="FB9" i="4" s="1"/>
  <c r="EY12" i="4"/>
  <c r="FB12" i="4" s="1"/>
  <c r="EY22" i="4"/>
  <c r="FB22" i="4" s="1"/>
  <c r="FB13" i="4"/>
  <c r="EY24" i="4" l="1"/>
  <c r="EZ24" i="4" s="1"/>
  <c r="FB10" i="4"/>
  <c r="FA24" i="4" s="1"/>
  <c r="FC23" i="4" l="1"/>
  <c r="FD23" i="4" s="1"/>
  <c r="FC20" i="4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22" i="4"/>
  <c r="FD22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4" i="4" l="1"/>
  <c r="FE15" i="4" l="1"/>
  <c r="FE16" i="4"/>
  <c r="FE17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17" i="4"/>
  <c r="FH15" i="4"/>
  <c r="FH14" i="4"/>
  <c r="FH10" i="4"/>
  <c r="FE24" i="4"/>
  <c r="FF24" i="4" s="1"/>
  <c r="FH9" i="4"/>
  <c r="FH16" i="4"/>
  <c r="FH19" i="4"/>
  <c r="FH23" i="4"/>
  <c r="FH12" i="4"/>
  <c r="FH11" i="4"/>
  <c r="FH20" i="4"/>
  <c r="FH18" i="4"/>
  <c r="FG24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22" i="4"/>
  <c r="FJ22" i="4" s="1"/>
  <c r="FI18" i="4"/>
  <c r="FJ18" i="4" s="1"/>
  <c r="FI14" i="4"/>
  <c r="FJ14" i="4" s="1"/>
  <c r="FI10" i="4"/>
  <c r="FJ10" i="4" s="1"/>
  <c r="FI23" i="4"/>
  <c r="FJ23" i="4" s="1"/>
  <c r="FI19" i="4"/>
  <c r="FJ19" i="4" s="1"/>
  <c r="FI11" i="4"/>
  <c r="FJ11" i="4" s="1"/>
  <c r="FJ24" i="4" l="1"/>
  <c r="FK16" i="4" l="1"/>
  <c r="FK11" i="4"/>
  <c r="FK23" i="4"/>
  <c r="FK19" i="4"/>
  <c r="FK15" i="4"/>
  <c r="FK20" i="4"/>
  <c r="FK12" i="4"/>
  <c r="FK21" i="4"/>
  <c r="FK9" i="4"/>
  <c r="FK17" i="4"/>
  <c r="FK10" i="4"/>
  <c r="FK22" i="4"/>
  <c r="FK14" i="4"/>
  <c r="FK18" i="4"/>
  <c r="FK13" i="4"/>
  <c r="FN14" i="4" l="1"/>
  <c r="FN10" i="4"/>
  <c r="FN23" i="4"/>
  <c r="FN18" i="4"/>
  <c r="FN21" i="4"/>
  <c r="FN20" i="4"/>
  <c r="FN19" i="4"/>
  <c r="FN16" i="4"/>
  <c r="FK24" i="4"/>
  <c r="FL24" i="4" s="1"/>
  <c r="FN9" i="4"/>
  <c r="FN15" i="4"/>
  <c r="FN13" i="4"/>
  <c r="FN22" i="4"/>
  <c r="FN17" i="4"/>
  <c r="FN12" i="4"/>
  <c r="FN11" i="4"/>
  <c r="FM24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24" i="4" l="1"/>
  <c r="FQ23" i="4" l="1"/>
  <c r="FQ19" i="4"/>
  <c r="FQ14" i="4"/>
  <c r="FQ10" i="4"/>
  <c r="FQ12" i="4"/>
  <c r="FQ16" i="4"/>
  <c r="FQ15" i="4"/>
  <c r="FQ11" i="4"/>
  <c r="FQ20" i="4"/>
  <c r="FQ22" i="4"/>
  <c r="FQ18" i="4"/>
  <c r="FQ17" i="4"/>
  <c r="FQ21" i="4"/>
  <c r="FQ13" i="4"/>
  <c r="FQ9" i="4"/>
  <c r="FT13" i="4" l="1"/>
  <c r="FT18" i="4"/>
  <c r="FT11" i="4"/>
  <c r="FT12" i="4"/>
  <c r="FT14" i="4"/>
  <c r="FQ24" i="4"/>
  <c r="FR24" i="4" s="1"/>
  <c r="FT9" i="4"/>
  <c r="FT16" i="4"/>
  <c r="FT10" i="4"/>
  <c r="FT23" i="4"/>
  <c r="FT17" i="4"/>
  <c r="FT20" i="4"/>
  <c r="FT15" i="4"/>
  <c r="FT19" i="4"/>
  <c r="FT21" i="4"/>
  <c r="FT22" i="4"/>
  <c r="FS24" i="4" l="1"/>
  <c r="FU23" i="4" l="1"/>
  <c r="FV23" i="4" s="1"/>
  <c r="FU19" i="4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22" i="4"/>
  <c r="FV22" i="4" s="1"/>
  <c r="FU18" i="4"/>
  <c r="FV18" i="4" s="1"/>
  <c r="FU14" i="4"/>
  <c r="FV14" i="4" s="1"/>
  <c r="FU10" i="4"/>
  <c r="FV10" i="4" s="1"/>
  <c r="FU11" i="4"/>
  <c r="FV11" i="4" s="1"/>
  <c r="FV24" i="4" l="1"/>
  <c r="FW21" i="4" l="1"/>
  <c r="FW18" i="4"/>
  <c r="FW12" i="4"/>
  <c r="FW19" i="4"/>
  <c r="FW20" i="4"/>
  <c r="FW13" i="4"/>
  <c r="FW9" i="4"/>
  <c r="FW22" i="4"/>
  <c r="FW23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23" i="4"/>
  <c r="FZ10" i="4"/>
  <c r="FZ15" i="4"/>
  <c r="FZ17" i="4"/>
  <c r="FZ11" i="4"/>
  <c r="FZ22" i="4"/>
  <c r="FZ13" i="4"/>
  <c r="FZ12" i="4"/>
  <c r="FW24" i="4"/>
  <c r="FX24" i="4" s="1"/>
  <c r="FZ9" i="4"/>
  <c r="FY24" i="4" l="1"/>
  <c r="GA23" i="4" s="1"/>
  <c r="GB23" i="4" s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22" i="4"/>
  <c r="GB22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4" i="4" l="1"/>
  <c r="GC12" i="4" s="1"/>
  <c r="GC19" i="4" l="1"/>
  <c r="GC10" i="4"/>
  <c r="GF10" i="4" s="1"/>
  <c r="GC23" i="4"/>
  <c r="GF23" i="4" s="1"/>
  <c r="GC20" i="4"/>
  <c r="GF20" i="4" s="1"/>
  <c r="GC17" i="4"/>
  <c r="GF17" i="4" s="1"/>
  <c r="GC18" i="4"/>
  <c r="GF18" i="4" s="1"/>
  <c r="GC14" i="4"/>
  <c r="GF14" i="4" s="1"/>
  <c r="GC22" i="4"/>
  <c r="GF22" i="4" s="1"/>
  <c r="GC9" i="4"/>
  <c r="GC16" i="4"/>
  <c r="GF16" i="4" s="1"/>
  <c r="GC11" i="4"/>
  <c r="GC21" i="4"/>
  <c r="GF21" i="4" s="1"/>
  <c r="GC13" i="4"/>
  <c r="GF13" i="4" s="1"/>
  <c r="GC15" i="4"/>
  <c r="GF15" i="4" s="1"/>
  <c r="GF11" i="4"/>
  <c r="GF12" i="4"/>
  <c r="GF9" i="4"/>
  <c r="GF19" i="4"/>
  <c r="GC24" i="4" l="1"/>
  <c r="GD24" i="4" s="1"/>
  <c r="GE24" i="4"/>
  <c r="GG11" i="4" l="1"/>
  <c r="GH11" i="4" s="1"/>
  <c r="GG9" i="4"/>
  <c r="GH9" i="4" s="1"/>
  <c r="GG20" i="4"/>
  <c r="GH20" i="4" s="1"/>
  <c r="GG18" i="4"/>
  <c r="GH18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24" i="4" l="1"/>
  <c r="GI14" i="4" s="1"/>
  <c r="GJ14" i="4" s="1"/>
  <c r="GK14" i="4" s="1"/>
  <c r="GL14" i="4" l="1"/>
  <c r="GI9" i="4"/>
  <c r="GJ9" i="4" s="1"/>
  <c r="GI13" i="4"/>
  <c r="GJ13" i="4" s="1"/>
  <c r="GK13" i="4" s="1"/>
  <c r="GI20" i="4"/>
  <c r="GJ20" i="4" s="1"/>
  <c r="GK20" i="4" s="1"/>
  <c r="GI15" i="4"/>
  <c r="GJ15" i="4" s="1"/>
  <c r="GK15" i="4" s="1"/>
  <c r="GI10" i="4"/>
  <c r="GJ10" i="4" s="1"/>
  <c r="GK10" i="4" s="1"/>
  <c r="GI22" i="4"/>
  <c r="GJ22" i="4" s="1"/>
  <c r="GK22" i="4" s="1"/>
  <c r="GI17" i="4"/>
  <c r="GJ17" i="4" s="1"/>
  <c r="GK17" i="4" s="1"/>
  <c r="GI16" i="4"/>
  <c r="GJ16" i="4" s="1"/>
  <c r="GK16" i="4" s="1"/>
  <c r="GI23" i="4"/>
  <c r="GJ23" i="4" s="1"/>
  <c r="GK23" i="4" s="1"/>
  <c r="GI21" i="4"/>
  <c r="GJ21" i="4" s="1"/>
  <c r="GK21" i="4" s="1"/>
  <c r="GI12" i="4"/>
  <c r="GJ12" i="4" s="1"/>
  <c r="GK12" i="4" s="1"/>
  <c r="GI19" i="4"/>
  <c r="GJ19" i="4" s="1"/>
  <c r="GK19" i="4" s="1"/>
  <c r="GI11" i="4"/>
  <c r="GJ11" i="4" s="1"/>
  <c r="GK11" i="4" s="1"/>
  <c r="GI18" i="4"/>
  <c r="GJ18" i="4" s="1"/>
  <c r="GK18" i="4" s="1"/>
  <c r="GL13" i="4" l="1"/>
  <c r="GL18" i="4"/>
  <c r="GL21" i="4"/>
  <c r="GL22" i="4"/>
  <c r="GL23" i="4"/>
  <c r="GL11" i="4"/>
  <c r="GL10" i="4"/>
  <c r="GL19" i="4"/>
  <c r="GL16" i="4"/>
  <c r="GL15" i="4"/>
  <c r="GL12" i="4"/>
  <c r="GL17" i="4"/>
  <c r="GL20" i="4"/>
  <c r="GI24" i="4"/>
  <c r="GK9" i="4"/>
  <c r="GJ24" i="4"/>
  <c r="GK24" i="4" s="1"/>
  <c r="GL9" i="4" l="1"/>
</calcChain>
</file>

<file path=xl/sharedStrings.xml><?xml version="1.0" encoding="utf-8"?>
<sst xmlns="http://schemas.openxmlformats.org/spreadsheetml/2006/main" count="1747" uniqueCount="214">
  <si>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</si>
  <si>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</si>
  <si>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</si>
  <si>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</si>
  <si>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</si>
  <si>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</si>
  <si>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</si>
  <si>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</si>
  <si>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</si>
  <si>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</si>
  <si>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</si>
  <si>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</si>
  <si>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</si>
  <si>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</si>
  <si>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</si>
  <si>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</si>
  <si>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</si>
  <si>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</si>
  <si>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</si>
  <si>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</si>
  <si>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</si>
  <si>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</si>
  <si>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</si>
  <si>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</si>
  <si>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</si>
  <si>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</si>
  <si>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</si>
  <si>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</si>
  <si>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</si>
  <si>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</si>
  <si>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</si>
  <si>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</si>
  <si>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</si>
  <si>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</si>
  <si>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</si>
  <si>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</si>
  <si>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</si>
  <si>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</si>
  <si>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</si>
  <si>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</si>
  <si>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</si>
  <si>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</si>
  <si>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</si>
  <si>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</si>
  <si>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</si>
  <si>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</si>
  <si>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</si>
  <si>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</si>
  <si>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</si>
  <si>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</si>
  <si>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</si>
  <si>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</si>
  <si>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</si>
  <si>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</si>
  <si>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</si>
  <si>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</si>
  <si>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</si>
  <si>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</si>
  <si>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</si>
  <si>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</si>
  <si>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</si>
  <si>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</si>
  <si>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</si>
  <si>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</si>
  <si>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</si>
  <si>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</si>
  <si>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</si>
  <si>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</si>
  <si>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</si>
  <si>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</si>
  <si>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</si>
  <si>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</si>
  <si>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</si>
  <si>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</si>
  <si>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</si>
  <si>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</si>
  <si>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</si>
  <si>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</si>
  <si>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</si>
  <si>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</si>
  <si>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</si>
  <si>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</si>
  <si>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</si>
  <si>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</si>
  <si>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</si>
  <si>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</si>
  <si>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</si>
  <si>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</si>
  <si>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</si>
  <si>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</si>
  <si>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</si>
  <si>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</si>
  <si>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</si>
  <si>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</si>
  <si>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</si>
  <si>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</si>
  <si>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</si>
  <si>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</si>
  <si>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</si>
  <si>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</si>
  <si>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</si>
  <si>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</si>
  <si>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</si>
  <si>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</si>
  <si>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</si>
  <si>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</si>
  <si>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</si>
  <si>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</si>
  <si>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</si>
  <si>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</si>
  <si>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</si>
  <si>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</si>
  <si>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</si>
  <si>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</si>
  <si>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</si>
  <si>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</si>
  <si>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</si>
  <si>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</si>
  <si>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</si>
  <si>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</si>
  <si>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</si>
  <si>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</si>
  <si>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</si>
  <si>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</si>
  <si>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</si>
  <si>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</si>
  <si>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</si>
  <si>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</si>
  <si>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</si>
  <si>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</si>
  <si>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</si>
  <si>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</si>
  <si>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</si>
  <si>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</si>
  <si>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</si>
  <si>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</si>
  <si>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</si>
  <si>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</si>
  <si>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</si>
  <si>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</si>
  <si>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</si>
  <si>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</si>
  <si>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</si>
  <si>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</si>
  <si>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</si>
  <si>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</si>
  <si>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</si>
  <si>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</si>
  <si>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</si>
  <si>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</si>
  <si>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</si>
  <si>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</si>
  <si>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</si>
  <si>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</si>
  <si>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</si>
  <si>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</si>
  <si>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</si>
  <si>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</si>
  <si>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</si>
  <si>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</si>
  <si>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</si>
  <si>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</si>
  <si>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</si>
  <si>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</si>
  <si>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</si>
  <si>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</si>
  <si>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</si>
  <si>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</si>
  <si>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</si>
  <si>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</si>
  <si>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</si>
  <si>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</si>
  <si>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</si>
  <si>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</si>
  <si>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</si>
  <si>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</si>
  <si>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</si>
  <si>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Артынское сельское поселение</t>
  </si>
  <si>
    <t>Бергамакское сельское поселение</t>
  </si>
  <si>
    <t>Гуровское сельское поселение</t>
  </si>
  <si>
    <t>Камышино-Курское сельское поселение</t>
  </si>
  <si>
    <t>Карбызинское сельское поселение</t>
  </si>
  <si>
    <t>Кондратьевское сельское поселение</t>
  </si>
  <si>
    <t>Костинское сельское поселение</t>
  </si>
  <si>
    <t>Курганское сельское поселение</t>
  </si>
  <si>
    <t>Моховское сельское поселение</t>
  </si>
  <si>
    <t>Мысовское сельское поселение</t>
  </si>
  <si>
    <t>Низовское сельское поселение</t>
  </si>
  <si>
    <t>Пореченское сельское поселение</t>
  </si>
  <si>
    <t>Рязанское сельское поселение</t>
  </si>
  <si>
    <t>Ушаковское сельское поселение</t>
  </si>
  <si>
    <t>Муромцевское городское поселение</t>
  </si>
  <si>
    <t>расстояние от администрации поселения до областного центра (город Омск)</t>
  </si>
  <si>
    <t>кв.м.</t>
  </si>
  <si>
    <t>чел.кв.м.</t>
  </si>
  <si>
    <t>км.</t>
  </si>
  <si>
    <t>расстояние от населенного пункта до районного центра (р.п. Муромцево)</t>
  </si>
  <si>
    <t>Коэффициент плотности населения</t>
  </si>
  <si>
    <t>Коэффициент удаленности поселения от областного центра (город Омск)</t>
  </si>
  <si>
    <t>Коэффициент удаленности поселения от районного центра (р.п. Муромцево)</t>
  </si>
  <si>
    <t>Куо =2-( Уд min  + Уд sr )/ (Удi +  Уд sr)</t>
  </si>
  <si>
    <t>Кпл = 2 – ((Hi / Si )+∑(Hi/ Si)/n)/((max (Hi/ Si ))+∑(Hi/ Si)/ n)</t>
  </si>
  <si>
    <t xml:space="preserve">                                             i1                                               i1</t>
  </si>
  <si>
    <t xml:space="preserve">                                             n                                                    n</t>
  </si>
  <si>
    <t xml:space="preserve">Кур=2-(( min Рiv)+ Рisr) / (Рi+ Рi sr))
</t>
  </si>
  <si>
    <t>Корректировка расчета</t>
  </si>
  <si>
    <t xml:space="preserve">Численность постоянного населения 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</si>
  <si>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</si>
  <si>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</si>
  <si>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на 01.01.2024</t>
  </si>
  <si>
    <t>площадь территории поселения на 01.01.2024</t>
  </si>
  <si>
    <t>плотность населения на 01.01.2024</t>
  </si>
  <si>
    <t>2027 год</t>
  </si>
  <si>
    <t>Расчет размера дотации бюджетам поселений, входящих в состав Муромцевского муниципального района Омской области, на выравнивание бюджетной обеспеченности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</si>
</sst>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0" fillId="50" borderId="76">
      <alignment vertical="center" wrapText="1"/>
    </xf>
  </cellStyleXfs>
  <cellXfs count="29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6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2" xfId="0" applyFont="1" applyFill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50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6" fillId="42" borderId="4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8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1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7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47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3" fontId="18" fillId="0" borderId="36" xfId="0" applyNumberFormat="1" applyFont="1" applyFill="1" applyBorder="1" applyAlignment="1">
      <alignment horizontal="center" vertical="center"/>
    </xf>
    <xf numFmtId="1" fontId="18" fillId="0" borderId="17" xfId="0" applyNumberFormat="1" applyFont="1" applyFill="1" applyBorder="1" applyAlignment="1">
      <alignment horizontal="center" vertical="center"/>
    </xf>
    <xf numFmtId="1" fontId="18" fillId="0" borderId="42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" fontId="18" fillId="0" borderId="38" xfId="0" applyNumberFormat="1" applyFont="1" applyFill="1" applyBorder="1" applyAlignment="1">
      <alignment horizontal="center" vertical="center"/>
    </xf>
    <xf numFmtId="1" fontId="18" fillId="0" borderId="39" xfId="0" applyNumberFormat="1" applyFont="1" applyFill="1" applyBorder="1" applyAlignment="1">
      <alignment horizontal="center" vertical="center"/>
    </xf>
    <xf numFmtId="174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172" fontId="18" fillId="0" borderId="11" xfId="0" applyNumberFormat="1" applyFont="1" applyFill="1" applyBorder="1" applyAlignment="1">
      <alignment vertical="center"/>
    </xf>
    <xf numFmtId="49" fontId="18" fillId="0" borderId="0" xfId="0" applyNumberFormat="1" applyFont="1" applyAlignment="1">
      <alignment vertical="top" wrapText="1"/>
    </xf>
    <xf numFmtId="172" fontId="18" fillId="0" borderId="11" xfId="0" applyNumberFormat="1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wrapText="1"/>
    </xf>
    <xf numFmtId="164" fontId="18" fillId="26" borderId="25" xfId="0" applyNumberFormat="1" applyFont="1" applyFill="1" applyBorder="1" applyAlignment="1">
      <alignment horizontal="center" vertical="center"/>
    </xf>
    <xf numFmtId="164" fontId="18" fillId="26" borderId="14" xfId="0" applyNumberFormat="1" applyFont="1" applyFill="1" applyBorder="1" applyAlignment="1">
      <alignment horizontal="center" vertical="center"/>
    </xf>
    <xf numFmtId="164" fontId="18" fillId="26" borderId="72" xfId="0" applyNumberFormat="1" applyFont="1" applyFill="1" applyBorder="1" applyAlignment="1">
      <alignment horizontal="center" vertical="center"/>
    </xf>
    <xf numFmtId="0" fontId="37" fillId="42" borderId="0" xfId="0" applyFont="1" applyFill="1" applyBorder="1" applyAlignment="1">
      <alignment horizontal="left" vertical="center" wrapText="1"/>
    </xf>
    <xf numFmtId="0" fontId="37" fillId="42" borderId="14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left" vertical="center" wrapText="1"/>
    </xf>
    <xf numFmtId="0" fontId="37" fillId="42" borderId="68" xfId="0" applyFont="1" applyFill="1" applyBorder="1" applyAlignment="1">
      <alignment horizontal="center" vertical="center" wrapText="1"/>
    </xf>
    <xf numFmtId="3" fontId="32" fillId="0" borderId="26" xfId="0" applyNumberFormat="1" applyFont="1" applyFill="1" applyBorder="1" applyAlignment="1">
      <alignment horizontal="center" vertical="center" wrapText="1"/>
    </xf>
    <xf numFmtId="3" fontId="18" fillId="0" borderId="17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18" fillId="39" borderId="11" xfId="0" applyFont="1" applyFill="1" applyBorder="1" applyAlignment="1">
      <alignment horizontal="center" vertical="center" wrapText="1"/>
    </xf>
    <xf numFmtId="0" fontId="31" fillId="39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0" fontId="22" fillId="26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" fontId="18" fillId="0" borderId="11" xfId="0" applyNumberFormat="1" applyFont="1" applyFill="1" applyBorder="1" applyAlignment="1">
      <alignment horizontal="center"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" fontId="21" fillId="28" borderId="11" xfId="0" applyNumberFormat="1" applyFont="1" applyFill="1" applyBorder="1" applyAlignment="1">
      <alignment horizontal="center" vertical="center"/>
    </xf>
    <xf numFmtId="4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wrapText="1"/>
    </xf>
    <xf numFmtId="3" fontId="23" fillId="51" borderId="11" xfId="44" applyNumberFormat="1" applyFont="1" applyFill="1" applyBorder="1" applyAlignment="1">
      <alignment horizontal="center" vertical="center" wrapText="1"/>
    </xf>
    <xf numFmtId="4" fontId="23" fillId="0" borderId="11" xfId="43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65" xfId="0" applyFont="1" applyFill="1" applyBorder="1" applyAlignment="1">
      <alignment horizontal="center" vertical="center" wrapText="1"/>
    </xf>
    <xf numFmtId="0" fontId="31" fillId="0" borderId="53" xfId="0" applyFont="1" applyFill="1" applyBorder="1" applyAlignment="1">
      <alignment horizontal="center" vertical="center" wrapText="1"/>
    </xf>
    <xf numFmtId="0" fontId="32" fillId="32" borderId="20" xfId="0" applyFont="1" applyFill="1" applyBorder="1" applyAlignment="1">
      <alignment horizontal="center" vertical="center" wrapText="1"/>
    </xf>
    <xf numFmtId="0" fontId="32" fillId="32" borderId="65" xfId="0" applyFont="1" applyFill="1" applyBorder="1" applyAlignment="1">
      <alignment horizontal="center" vertical="center" wrapText="1"/>
    </xf>
    <xf numFmtId="0" fontId="32" fillId="32" borderId="5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42" borderId="44" xfId="0" applyFont="1" applyFill="1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7"/>
  <sheetViews>
    <sheetView tabSelected="1" view="pageBreakPreview" zoomScale="75" zoomScaleNormal="90" zoomScaleSheetLayoutView="75" workbookViewId="0">
      <selection activeCell="D26" sqref="D26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11" width="19.42578125" style="1" customWidth="1"/>
    <col min="12" max="233" width="9.140625" style="1"/>
  </cols>
  <sheetData>
    <row r="2" spans="1:11" s="4" customFormat="1" ht="27" customHeight="1" x14ac:dyDescent="0.2">
      <c r="A2" s="227" t="s">
        <v>77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s="4" customFormat="1" ht="16.5" x14ac:dyDescent="0.2">
      <c r="B3" s="220"/>
      <c r="C3" s="220"/>
      <c r="D3" s="220"/>
      <c r="E3" s="220"/>
      <c r="F3" s="220"/>
      <c r="G3" s="220"/>
      <c r="H3" s="220"/>
    </row>
    <row r="4" spans="1:11" ht="16.5" thickBot="1" x14ac:dyDescent="0.25">
      <c r="B4" s="5"/>
      <c r="C4" s="6"/>
      <c r="D4" s="6"/>
    </row>
    <row r="5" spans="1:11" ht="20.25" customHeight="1" thickBot="1" x14ac:dyDescent="0.25">
      <c r="A5" s="234" t="s">
        <v>0</v>
      </c>
      <c r="B5" s="221" t="s">
        <v>7</v>
      </c>
      <c r="C5" s="224" t="s">
        <v>56</v>
      </c>
      <c r="D5" s="225"/>
      <c r="E5" s="225"/>
      <c r="F5" s="225"/>
      <c r="G5" s="225"/>
      <c r="H5" s="225"/>
      <c r="I5" s="225"/>
      <c r="J5" s="225"/>
      <c r="K5" s="226"/>
    </row>
    <row r="6" spans="1:11" s="7" customFormat="1" ht="51.75" customHeight="1" x14ac:dyDescent="0.2">
      <c r="A6" s="235"/>
      <c r="B6" s="222"/>
      <c r="C6" s="87" t="s">
        <v>206</v>
      </c>
      <c r="D6" s="87" t="s">
        <v>62</v>
      </c>
      <c r="E6" s="228" t="s">
        <v>73</v>
      </c>
      <c r="F6" s="229"/>
      <c r="G6" s="229"/>
      <c r="H6" s="229"/>
      <c r="I6" s="229"/>
      <c r="J6" s="229"/>
      <c r="K6" s="230"/>
    </row>
    <row r="7" spans="1:11" s="7" customFormat="1" ht="19.5" customHeight="1" thickBot="1" x14ac:dyDescent="0.25">
      <c r="A7" s="235"/>
      <c r="B7" s="222"/>
      <c r="C7" s="88" t="s">
        <v>209</v>
      </c>
      <c r="D7" s="90" t="s">
        <v>212</v>
      </c>
      <c r="E7" s="231"/>
      <c r="F7" s="232"/>
      <c r="G7" s="232"/>
      <c r="H7" s="232"/>
      <c r="I7" s="232"/>
      <c r="J7" s="232"/>
      <c r="K7" s="233"/>
    </row>
    <row r="8" spans="1:11" s="7" customFormat="1" ht="69" customHeight="1" thickBot="1" x14ac:dyDescent="0.25">
      <c r="A8" s="235"/>
      <c r="B8" s="223"/>
      <c r="C8" s="89" t="s">
        <v>1</v>
      </c>
      <c r="D8" s="89" t="s">
        <v>2</v>
      </c>
      <c r="E8" s="180" t="s">
        <v>210</v>
      </c>
      <c r="F8" s="180" t="s">
        <v>211</v>
      </c>
      <c r="G8" s="180" t="s">
        <v>192</v>
      </c>
      <c r="H8" s="180" t="s">
        <v>196</v>
      </c>
      <c r="I8" s="91" t="s">
        <v>71</v>
      </c>
      <c r="J8" s="91" t="s">
        <v>71</v>
      </c>
      <c r="K8" s="180" t="s">
        <v>71</v>
      </c>
    </row>
    <row r="9" spans="1:11" s="8" customFormat="1" ht="24.75" thickBot="1" x14ac:dyDescent="0.25">
      <c r="A9" s="236"/>
      <c r="B9" s="55" t="s">
        <v>3</v>
      </c>
      <c r="C9" s="53" t="s">
        <v>5</v>
      </c>
      <c r="D9" s="53" t="s">
        <v>4</v>
      </c>
      <c r="E9" s="181" t="s">
        <v>193</v>
      </c>
      <c r="F9" s="181" t="s">
        <v>194</v>
      </c>
      <c r="G9" s="181" t="s">
        <v>195</v>
      </c>
      <c r="H9" s="181" t="s">
        <v>195</v>
      </c>
      <c r="I9" s="86" t="s">
        <v>72</v>
      </c>
      <c r="J9" s="86" t="s">
        <v>72</v>
      </c>
      <c r="K9" s="181" t="s">
        <v>72</v>
      </c>
    </row>
    <row r="10" spans="1:11" s="8" customFormat="1" thickBot="1" x14ac:dyDescent="0.25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  <c r="K10" s="182">
        <v>10</v>
      </c>
    </row>
    <row r="11" spans="1:11" ht="18.75" x14ac:dyDescent="0.2">
      <c r="A11" s="37">
        <v>1</v>
      </c>
      <c r="B11" s="172" t="s">
        <v>177</v>
      </c>
      <c r="C11" s="173">
        <v>976</v>
      </c>
      <c r="D11" s="218">
        <v>897398</v>
      </c>
      <c r="E11" s="199">
        <v>23961</v>
      </c>
      <c r="F11" s="187">
        <f>C11/E11</f>
        <v>4.0732857560201993E-2</v>
      </c>
      <c r="G11" s="174">
        <v>150</v>
      </c>
      <c r="H11" s="175">
        <v>53</v>
      </c>
      <c r="I11" s="191"/>
      <c r="J11" s="179"/>
      <c r="K11" s="184"/>
    </row>
    <row r="12" spans="1:11" ht="18.75" x14ac:dyDescent="0.2">
      <c r="A12" s="38">
        <v>2</v>
      </c>
      <c r="B12" s="172" t="s">
        <v>178</v>
      </c>
      <c r="C12" s="176">
        <v>1270</v>
      </c>
      <c r="D12" s="218">
        <v>1256035</v>
      </c>
      <c r="E12" s="176">
        <v>46518</v>
      </c>
      <c r="F12" s="187">
        <f t="shared" ref="F12:F25" si="0">C12/E12</f>
        <v>2.7301259727417343E-2</v>
      </c>
      <c r="G12" s="174">
        <v>216</v>
      </c>
      <c r="H12" s="177">
        <v>15</v>
      </c>
      <c r="I12" s="192"/>
      <c r="J12" s="179"/>
      <c r="K12" s="184"/>
    </row>
    <row r="13" spans="1:11" ht="18.75" x14ac:dyDescent="0.2">
      <c r="A13" s="38">
        <v>3</v>
      </c>
      <c r="B13" s="172" t="s">
        <v>179</v>
      </c>
      <c r="C13" s="176">
        <v>572</v>
      </c>
      <c r="D13" s="218">
        <v>291061</v>
      </c>
      <c r="E13" s="176">
        <v>13950</v>
      </c>
      <c r="F13" s="187">
        <f t="shared" si="0"/>
        <v>4.1003584229390683E-2</v>
      </c>
      <c r="G13" s="174">
        <v>190</v>
      </c>
      <c r="H13" s="177">
        <v>10</v>
      </c>
      <c r="I13" s="192"/>
      <c r="J13" s="179"/>
      <c r="K13" s="184"/>
    </row>
    <row r="14" spans="1:11" ht="25.5" x14ac:dyDescent="0.2">
      <c r="A14" s="38">
        <v>4</v>
      </c>
      <c r="B14" s="172" t="s">
        <v>180</v>
      </c>
      <c r="C14" s="176">
        <v>885</v>
      </c>
      <c r="D14" s="218">
        <v>1317079</v>
      </c>
      <c r="E14" s="176">
        <v>24817</v>
      </c>
      <c r="F14" s="187">
        <f t="shared" si="0"/>
        <v>3.5661038804045614E-2</v>
      </c>
      <c r="G14" s="174">
        <v>130</v>
      </c>
      <c r="H14" s="177">
        <v>71</v>
      </c>
      <c r="I14" s="192"/>
      <c r="J14" s="179"/>
      <c r="K14" s="184"/>
    </row>
    <row r="15" spans="1:11" ht="18.75" x14ac:dyDescent="0.2">
      <c r="A15" s="38">
        <v>5</v>
      </c>
      <c r="B15" s="172" t="s">
        <v>181</v>
      </c>
      <c r="C15" s="176">
        <v>217</v>
      </c>
      <c r="D15" s="218">
        <v>257479</v>
      </c>
      <c r="E15" s="176">
        <v>37379</v>
      </c>
      <c r="F15" s="187">
        <f t="shared" si="0"/>
        <v>5.8053987533106827E-3</v>
      </c>
      <c r="G15" s="174">
        <v>250</v>
      </c>
      <c r="H15" s="177">
        <v>50</v>
      </c>
      <c r="I15" s="192"/>
      <c r="J15" s="179"/>
      <c r="K15" s="184"/>
    </row>
    <row r="16" spans="1:11" ht="18.75" x14ac:dyDescent="0.2">
      <c r="A16" s="38">
        <v>6</v>
      </c>
      <c r="B16" s="172" t="s">
        <v>182</v>
      </c>
      <c r="C16" s="176">
        <v>367</v>
      </c>
      <c r="D16" s="218">
        <v>227583</v>
      </c>
      <c r="E16" s="176">
        <v>67738</v>
      </c>
      <c r="F16" s="187">
        <f t="shared" si="0"/>
        <v>5.4179338037733619E-3</v>
      </c>
      <c r="G16" s="174">
        <v>222</v>
      </c>
      <c r="H16" s="177">
        <v>22</v>
      </c>
      <c r="I16" s="192"/>
      <c r="J16" s="179"/>
      <c r="K16" s="184"/>
    </row>
    <row r="17" spans="1:11" ht="18.75" x14ac:dyDescent="0.2">
      <c r="A17" s="38">
        <v>7</v>
      </c>
      <c r="B17" s="172" t="s">
        <v>183</v>
      </c>
      <c r="C17" s="176">
        <v>582</v>
      </c>
      <c r="D17" s="218">
        <v>665923</v>
      </c>
      <c r="E17" s="176">
        <v>50150</v>
      </c>
      <c r="F17" s="187">
        <f t="shared" si="0"/>
        <v>1.1605184446660021E-2</v>
      </c>
      <c r="G17" s="174">
        <v>170</v>
      </c>
      <c r="H17" s="177">
        <v>30</v>
      </c>
      <c r="I17" s="192"/>
      <c r="J17" s="179"/>
      <c r="K17" s="184"/>
    </row>
    <row r="18" spans="1:11" ht="18.75" x14ac:dyDescent="0.2">
      <c r="A18" s="38">
        <v>8</v>
      </c>
      <c r="B18" s="172" t="s">
        <v>184</v>
      </c>
      <c r="C18" s="176">
        <v>148</v>
      </c>
      <c r="D18" s="218">
        <v>198895</v>
      </c>
      <c r="E18" s="176">
        <v>16500</v>
      </c>
      <c r="F18" s="187">
        <f t="shared" si="0"/>
        <v>8.9696969696969695E-3</v>
      </c>
      <c r="G18" s="174">
        <v>250</v>
      </c>
      <c r="H18" s="177">
        <v>50</v>
      </c>
      <c r="I18" s="192"/>
      <c r="J18" s="179"/>
      <c r="K18" s="184"/>
    </row>
    <row r="19" spans="1:11" ht="18.75" x14ac:dyDescent="0.2">
      <c r="A19" s="38">
        <v>9</v>
      </c>
      <c r="B19" s="172" t="s">
        <v>185</v>
      </c>
      <c r="C19" s="176">
        <v>457</v>
      </c>
      <c r="D19" s="218">
        <v>601528</v>
      </c>
      <c r="E19" s="176">
        <v>50040</v>
      </c>
      <c r="F19" s="187">
        <f t="shared" si="0"/>
        <v>9.1326938449240603E-3</v>
      </c>
      <c r="G19" s="174">
        <v>140</v>
      </c>
      <c r="H19" s="177">
        <v>61</v>
      </c>
      <c r="I19" s="192"/>
      <c r="J19" s="179"/>
      <c r="K19" s="184"/>
    </row>
    <row r="20" spans="1:11" ht="18.75" x14ac:dyDescent="0.2">
      <c r="A20" s="38">
        <v>10</v>
      </c>
      <c r="B20" s="172" t="s">
        <v>186</v>
      </c>
      <c r="C20" s="176">
        <v>747</v>
      </c>
      <c r="D20" s="218">
        <v>520539</v>
      </c>
      <c r="E20" s="176">
        <v>76354</v>
      </c>
      <c r="F20" s="187">
        <f t="shared" si="0"/>
        <v>9.7833774261990199E-3</v>
      </c>
      <c r="G20" s="174">
        <v>220</v>
      </c>
      <c r="H20" s="177">
        <v>17</v>
      </c>
      <c r="I20" s="192"/>
      <c r="J20" s="179"/>
      <c r="K20" s="184"/>
    </row>
    <row r="21" spans="1:11" ht="18.75" x14ac:dyDescent="0.2">
      <c r="A21" s="38">
        <v>11</v>
      </c>
      <c r="B21" s="172" t="s">
        <v>187</v>
      </c>
      <c r="C21" s="176">
        <v>682</v>
      </c>
      <c r="D21" s="218">
        <v>1090202</v>
      </c>
      <c r="E21" s="200">
        <v>67778</v>
      </c>
      <c r="F21" s="187">
        <f t="shared" si="0"/>
        <v>1.0062262090943965E-2</v>
      </c>
      <c r="G21" s="174">
        <v>250</v>
      </c>
      <c r="H21" s="178">
        <v>50</v>
      </c>
      <c r="I21" s="193"/>
      <c r="J21" s="179"/>
      <c r="K21" s="184"/>
    </row>
    <row r="22" spans="1:11" ht="18.75" x14ac:dyDescent="0.2">
      <c r="A22" s="38">
        <v>12</v>
      </c>
      <c r="B22" s="172" t="s">
        <v>188</v>
      </c>
      <c r="C22" s="176">
        <v>210</v>
      </c>
      <c r="D22" s="218">
        <v>447440</v>
      </c>
      <c r="E22" s="200">
        <v>25293</v>
      </c>
      <c r="F22" s="187">
        <f t="shared" si="0"/>
        <v>8.3026924445498747E-3</v>
      </c>
      <c r="G22" s="174">
        <v>250</v>
      </c>
      <c r="H22" s="178">
        <v>50</v>
      </c>
      <c r="I22" s="193"/>
      <c r="J22" s="179"/>
      <c r="K22" s="184"/>
    </row>
    <row r="23" spans="1:11" ht="18.75" x14ac:dyDescent="0.2">
      <c r="A23" s="38">
        <v>13</v>
      </c>
      <c r="B23" s="172" t="s">
        <v>189</v>
      </c>
      <c r="C23" s="176">
        <v>333</v>
      </c>
      <c r="D23" s="218">
        <v>217471</v>
      </c>
      <c r="E23" s="200">
        <v>80751</v>
      </c>
      <c r="F23" s="187">
        <f t="shared" si="0"/>
        <v>4.1237879407066171E-3</v>
      </c>
      <c r="G23" s="174">
        <v>235</v>
      </c>
      <c r="H23" s="178">
        <v>35</v>
      </c>
      <c r="I23" s="193"/>
      <c r="J23" s="179"/>
      <c r="K23" s="184"/>
    </row>
    <row r="24" spans="1:11" ht="18.75" x14ac:dyDescent="0.2">
      <c r="A24" s="38">
        <v>14</v>
      </c>
      <c r="B24" s="172" t="s">
        <v>190</v>
      </c>
      <c r="C24" s="176">
        <v>213</v>
      </c>
      <c r="D24" s="218">
        <v>313184</v>
      </c>
      <c r="E24" s="176">
        <v>42730</v>
      </c>
      <c r="F24" s="126">
        <f t="shared" si="0"/>
        <v>4.9847882050081914E-3</v>
      </c>
      <c r="G24" s="210">
        <v>236</v>
      </c>
      <c r="H24" s="210">
        <v>36</v>
      </c>
      <c r="I24" s="211"/>
      <c r="J24" s="179"/>
      <c r="K24" s="184"/>
    </row>
    <row r="25" spans="1:11" ht="26.25" thickBot="1" x14ac:dyDescent="0.25">
      <c r="A25" s="38">
        <v>15</v>
      </c>
      <c r="B25" s="172" t="s">
        <v>191</v>
      </c>
      <c r="C25" s="176">
        <v>9333</v>
      </c>
      <c r="D25" s="218">
        <v>21210575</v>
      </c>
      <c r="E25" s="176">
        <v>42121</v>
      </c>
      <c r="F25" s="126">
        <f t="shared" si="0"/>
        <v>0.22157593599392228</v>
      </c>
      <c r="G25" s="210">
        <v>201</v>
      </c>
      <c r="H25" s="210">
        <v>0</v>
      </c>
      <c r="I25" s="211"/>
      <c r="J25" s="179"/>
      <c r="K25" s="184"/>
    </row>
    <row r="26" spans="1:11" ht="16.5" thickBot="1" x14ac:dyDescent="0.25">
      <c r="A26" s="19"/>
      <c r="B26" s="212" t="s">
        <v>6</v>
      </c>
      <c r="C26" s="213">
        <f>SUM(C11:C25)</f>
        <v>16992</v>
      </c>
      <c r="D26" s="214">
        <f>SUM(D11:D25)</f>
        <v>29512392</v>
      </c>
      <c r="E26" s="215">
        <v>80751</v>
      </c>
      <c r="F26" s="215"/>
      <c r="G26" s="215"/>
      <c r="H26" s="215"/>
      <c r="I26" s="215"/>
      <c r="J26" s="179"/>
      <c r="K26" s="179"/>
    </row>
    <row r="27" spans="1:11" x14ac:dyDescent="0.2">
      <c r="K27" s="183"/>
    </row>
  </sheetData>
  <sheetProtection selectLockedCells="1" selectUnlockedCells="1"/>
  <autoFilter ref="A10:HY26"/>
  <mergeCells count="6">
    <mergeCell ref="B3:H3"/>
    <mergeCell ref="B5:B8"/>
    <mergeCell ref="C5:K5"/>
    <mergeCell ref="A2:K2"/>
    <mergeCell ref="E6:K7"/>
    <mergeCell ref="A5:A9"/>
  </mergeCells>
  <printOptions horizontalCentered="1"/>
  <pageMargins left="0" right="0" top="0.39370078740157483" bottom="0.39370078740157483" header="0.23622047244094491" footer="0.51181102362204722"/>
  <pageSetup paperSize="9" scale="6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="110" zoomScaleNormal="110" workbookViewId="0">
      <selection activeCell="G13" sqref="G13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9.28515625" style="9" customWidth="1"/>
    <col min="4" max="7" width="16.85546875" style="9" customWidth="1"/>
    <col min="8" max="8" width="18.28515625" style="9" customWidth="1"/>
    <col min="9" max="9" width="13.42578125" style="9" bestFit="1" customWidth="1"/>
    <col min="10" max="10" width="61.7109375" style="9" customWidth="1"/>
    <col min="11" max="16384" width="9.140625" style="9"/>
  </cols>
  <sheetData>
    <row r="1" spans="1:10" x14ac:dyDescent="0.2">
      <c r="C1" s="10"/>
      <c r="D1" s="10"/>
      <c r="E1" s="10"/>
      <c r="F1" s="10"/>
      <c r="G1" s="10"/>
    </row>
    <row r="2" spans="1:10" s="11" customFormat="1" ht="18.75" x14ac:dyDescent="0.2">
      <c r="A2" s="237" t="s">
        <v>63</v>
      </c>
      <c r="B2" s="237"/>
      <c r="C2" s="237"/>
      <c r="D2" s="237"/>
      <c r="E2" s="237"/>
      <c r="F2" s="237"/>
      <c r="G2" s="237"/>
      <c r="H2" s="237"/>
    </row>
    <row r="3" spans="1:10" ht="16.5" thickBot="1" x14ac:dyDescent="0.25">
      <c r="B3" s="12"/>
    </row>
    <row r="4" spans="1:10" s="7" customFormat="1" ht="61.5" customHeight="1" thickBot="1" x14ac:dyDescent="0.25">
      <c r="A4" s="238" t="s">
        <v>0</v>
      </c>
      <c r="B4" s="238" t="s">
        <v>61</v>
      </c>
      <c r="C4" s="195" t="s">
        <v>197</v>
      </c>
      <c r="D4" s="189" t="s">
        <v>198</v>
      </c>
      <c r="E4" s="189" t="s">
        <v>199</v>
      </c>
      <c r="F4" s="197" t="s">
        <v>75</v>
      </c>
      <c r="G4" s="197" t="s">
        <v>75</v>
      </c>
      <c r="H4" s="241" t="s">
        <v>64</v>
      </c>
    </row>
    <row r="5" spans="1:10" s="7" customFormat="1" ht="12.75" customHeight="1" x14ac:dyDescent="0.2">
      <c r="A5" s="239"/>
      <c r="B5" s="239"/>
      <c r="C5" s="194" t="s">
        <v>203</v>
      </c>
      <c r="D5" s="245" t="s">
        <v>200</v>
      </c>
      <c r="E5" s="245" t="s">
        <v>204</v>
      </c>
      <c r="F5" s="247" t="s">
        <v>76</v>
      </c>
      <c r="G5" s="247" t="s">
        <v>76</v>
      </c>
      <c r="H5" s="242"/>
    </row>
    <row r="6" spans="1:10" s="7" customFormat="1" ht="18" customHeight="1" thickBot="1" x14ac:dyDescent="0.25">
      <c r="A6" s="239"/>
      <c r="B6" s="239"/>
      <c r="C6" s="83" t="s">
        <v>201</v>
      </c>
      <c r="D6" s="246"/>
      <c r="E6" s="246"/>
      <c r="F6" s="248"/>
      <c r="G6" s="248"/>
      <c r="H6" s="242"/>
    </row>
    <row r="7" spans="1:10" s="13" customFormat="1" ht="12.75" customHeight="1" thickBot="1" x14ac:dyDescent="0.25">
      <c r="A7" s="240"/>
      <c r="B7" s="240"/>
      <c r="C7" s="196" t="s">
        <v>202</v>
      </c>
      <c r="D7" s="246"/>
      <c r="E7" s="246"/>
      <c r="F7" s="249"/>
      <c r="G7" s="249"/>
      <c r="H7" s="243"/>
    </row>
    <row r="8" spans="1:10" s="14" customFormat="1" thickBot="1" x14ac:dyDescent="0.25">
      <c r="A8" s="39">
        <v>1</v>
      </c>
      <c r="B8" s="40">
        <f t="shared" ref="B8:G8" si="0">A8+1</f>
        <v>2</v>
      </c>
      <c r="C8" s="40">
        <f t="shared" si="0"/>
        <v>3</v>
      </c>
      <c r="D8" s="198">
        <f t="shared" si="0"/>
        <v>4</v>
      </c>
      <c r="E8" s="198">
        <f t="shared" si="0"/>
        <v>5</v>
      </c>
      <c r="F8" s="84">
        <f t="shared" si="0"/>
        <v>6</v>
      </c>
      <c r="G8" s="84">
        <f t="shared" si="0"/>
        <v>7</v>
      </c>
      <c r="H8" s="85">
        <f>F8+1</f>
        <v>7</v>
      </c>
    </row>
    <row r="9" spans="1:10" x14ac:dyDescent="0.2">
      <c r="A9" s="127">
        <v>1</v>
      </c>
      <c r="B9" s="172" t="s">
        <v>177</v>
      </c>
      <c r="C9" s="186">
        <f>2-(('Исходные данные'!C11/'Исходные данные'!E11)+SUM('Исходные данные'!$F$11:$F$25)/15)/((MAX('Исходные данные'!$F$11:$F$25))+SUM('Исходные данные'!$F$11:$F$25)/15)</f>
        <v>1.7198973152292751</v>
      </c>
      <c r="D9" s="126">
        <f>2-(MIN('Исходные данные'!$G$11:$G$25)+AVERAGE('Исходные данные'!$G$11:$G$25))/('Исходные данные'!G11+AVERAGE('Исходные данные'!$G$11:$G$25))</f>
        <v>1.0559701492537314</v>
      </c>
      <c r="E9" s="188">
        <f>2-(MIN('Исходные данные'!$H$11:$H$25)+AVERAGE('Исходные данные'!$H$11:$H$25))/('Исходные данные'!H11+AVERAGE('Исходные данные'!$H$11:$H$25))</f>
        <v>1.5910780669144982</v>
      </c>
      <c r="F9" s="188"/>
      <c r="G9" s="188"/>
      <c r="H9" s="128">
        <f>C9+D9+E9</f>
        <v>4.366945531397505</v>
      </c>
      <c r="I9" s="18"/>
      <c r="J9" s="185"/>
    </row>
    <row r="10" spans="1:10" s="15" customFormat="1" x14ac:dyDescent="0.2">
      <c r="A10" s="81">
        <v>2</v>
      </c>
      <c r="B10" s="172" t="s">
        <v>178</v>
      </c>
      <c r="C10" s="186">
        <f>2-(('Исходные данные'!C12/'Исходные данные'!E12)+SUM('Исходные данные'!$F$11:$F$25)/15)/((MAX('Исходные данные'!$F$11:$F$25))+SUM('Исходные данные'!$F$11:$F$25)/15)</f>
        <v>1.7733656110734253</v>
      </c>
      <c r="D10" s="126">
        <f>2-(MIN('Исходные данные'!$G$11:$G$25)+AVERAGE('Исходные данные'!$G$11:$G$25))/('Исходные данные'!G12+AVERAGE('Исходные данные'!$G$11:$G$25))</f>
        <v>1.2031496062992124</v>
      </c>
      <c r="E10" s="188">
        <f>2-(MIN('Исходные данные'!$H$11:$H$25)+AVERAGE('Исходные данные'!$H$11:$H$25))/('Исходные данные'!H12+AVERAGE('Исходные данные'!$H$11:$H$25))</f>
        <v>1.2903225806451613</v>
      </c>
      <c r="F10" s="188"/>
      <c r="G10" s="188"/>
      <c r="H10" s="128">
        <f t="shared" ref="H10:H23" si="1">C10+D10+E10</f>
        <v>4.2668377980177992</v>
      </c>
      <c r="I10" s="18"/>
    </row>
    <row r="11" spans="1:10" s="15" customFormat="1" x14ac:dyDescent="0.2">
      <c r="A11" s="82">
        <v>3</v>
      </c>
      <c r="B11" s="172" t="s">
        <v>179</v>
      </c>
      <c r="C11" s="186">
        <f>2-(('Исходные данные'!C13/'Исходные данные'!E13)+SUM('Исходные данные'!$F$11:$F$25)/15)/((MAX('Исходные данные'!$F$11:$F$25))+SUM('Исходные данные'!$F$11:$F$25)/15)</f>
        <v>1.7188196107133054</v>
      </c>
      <c r="D11" s="126">
        <f>2-(MIN('Исходные данные'!$G$11:$G$25)+AVERAGE('Исходные данные'!$G$11:$G$25))/('Исходные данные'!G13+AVERAGE('Исходные данные'!$G$11:$G$25))</f>
        <v>1.151006711409396</v>
      </c>
      <c r="E11" s="188">
        <f>2-(MIN('Исходные данные'!$H$11:$H$25)+AVERAGE('Исходные данные'!$H$11:$H$25))/('Исходные данные'!H13+AVERAGE('Исходные данные'!$H$11:$H$25))</f>
        <v>1.2142857142857144</v>
      </c>
      <c r="F11" s="188"/>
      <c r="G11" s="188"/>
      <c r="H11" s="128">
        <f t="shared" si="1"/>
        <v>4.084112036408416</v>
      </c>
      <c r="I11" s="18"/>
    </row>
    <row r="12" spans="1:10" s="15" customFormat="1" x14ac:dyDescent="0.2">
      <c r="A12" s="81">
        <v>4</v>
      </c>
      <c r="B12" s="172" t="s">
        <v>180</v>
      </c>
      <c r="C12" s="186">
        <f>2-(('Исходные данные'!C14/'Исходные данные'!E14)+SUM('Исходные данные'!$F$11:$F$25)/15)/((MAX('Исходные данные'!$F$11:$F$25))+SUM('Исходные данные'!$F$11:$F$25)/15)</f>
        <v>1.7400871324869185</v>
      </c>
      <c r="D12" s="126">
        <f>2-(MIN('Исходные данные'!$G$11:$G$25)+AVERAGE('Исходные данные'!$G$11:$G$25))/('Исходные данные'!G14+AVERAGE('Исходные данные'!$G$11:$G$25))</f>
        <v>1</v>
      </c>
      <c r="E12" s="188">
        <f>2-(MIN('Исходные данные'!$H$11:$H$25)+AVERAGE('Исходные данные'!$H$11:$H$25))/('Исходные данные'!H14+AVERAGE('Исходные данные'!$H$11:$H$25))</f>
        <v>1.6594427244582044</v>
      </c>
      <c r="F12" s="188"/>
      <c r="G12" s="188"/>
      <c r="H12" s="128">
        <f t="shared" si="1"/>
        <v>4.3995298569451222</v>
      </c>
      <c r="I12" s="18"/>
    </row>
    <row r="13" spans="1:10" s="15" customFormat="1" x14ac:dyDescent="0.2">
      <c r="A13" s="82">
        <v>5</v>
      </c>
      <c r="B13" s="172" t="s">
        <v>181</v>
      </c>
      <c r="C13" s="186">
        <f>2-(('Исходные данные'!C15/'Исходные данные'!E15)+SUM('Исходные данные'!$F$11:$F$25)/15)/((MAX('Исходные данные'!$F$11:$F$25))+SUM('Исходные данные'!$F$11:$F$25)/15)</f>
        <v>1.8589360002629276</v>
      </c>
      <c r="D13" s="126">
        <f>2-(MIN('Исходные данные'!$G$11:$G$25)+AVERAGE('Исходные данные'!$G$11:$G$25))/('Исходные данные'!G15+AVERAGE('Исходные данные'!$G$11:$G$25))</f>
        <v>1.2623906705539358</v>
      </c>
      <c r="E13" s="188">
        <f>2-(MIN('Исходные данные'!$H$11:$H$25)+AVERAGE('Исходные данные'!$H$11:$H$25))/('Исходные данные'!H15+AVERAGE('Исходные данные'!$H$11:$H$25))</f>
        <v>1.5769230769230769</v>
      </c>
      <c r="F13" s="188"/>
      <c r="G13" s="188"/>
      <c r="H13" s="128">
        <f t="shared" si="1"/>
        <v>4.6982497477399399</v>
      </c>
      <c r="I13" s="18"/>
    </row>
    <row r="14" spans="1:10" s="15" customFormat="1" x14ac:dyDescent="0.2">
      <c r="A14" s="81">
        <v>6</v>
      </c>
      <c r="B14" s="172" t="s">
        <v>182</v>
      </c>
      <c r="C14" s="186">
        <f>2-(('Исходные данные'!C16/'Исходные данные'!E16)+SUM('Исходные данные'!$F$11:$F$25)/15)/((MAX('Исходные данные'!$F$11:$F$25))+SUM('Исходные данные'!$F$11:$F$25)/15)</f>
        <v>1.8604784147104874</v>
      </c>
      <c r="D14" s="126">
        <f>2-(MIN('Исходные данные'!$G$11:$G$25)+AVERAGE('Исходные данные'!$G$11:$G$25))/('Исходные данные'!G16+AVERAGE('Исходные данные'!$G$11:$G$25))</f>
        <v>1.2142857142857144</v>
      </c>
      <c r="E14" s="188">
        <f>2-(MIN('Исходные данные'!$H$11:$H$25)+AVERAGE('Исходные данные'!$H$11:$H$25))/('Исходные данные'!H16+AVERAGE('Исходные данные'!$H$11:$H$25))</f>
        <v>1.375</v>
      </c>
      <c r="F14" s="188"/>
      <c r="G14" s="188"/>
      <c r="H14" s="128">
        <f t="shared" si="1"/>
        <v>4.4497641289962022</v>
      </c>
      <c r="I14" s="18"/>
    </row>
    <row r="15" spans="1:10" s="15" customFormat="1" x14ac:dyDescent="0.2">
      <c r="A15" s="82">
        <v>7</v>
      </c>
      <c r="B15" s="172" t="s">
        <v>183</v>
      </c>
      <c r="C15" s="186">
        <f>2-(('Исходные данные'!C17/'Исходные данные'!E17)+SUM('Исходные данные'!$F$11:$F$25)/15)/((MAX('Исходные данные'!$F$11:$F$25))+SUM('Исходные данные'!$F$11:$F$25)/15)</f>
        <v>1.8358483035387336</v>
      </c>
      <c r="D15" s="126">
        <f>2-(MIN('Исходные данные'!$G$11:$G$25)+AVERAGE('Исходные данные'!$G$11:$G$25))/('Исходные данные'!G17+AVERAGE('Исходные данные'!$G$11:$G$25))</f>
        <v>1.1060070671378091</v>
      </c>
      <c r="E15" s="188">
        <f>2-(MIN('Исходные данные'!$H$11:$H$25)+AVERAGE('Исходные данные'!$H$11:$H$25))/('Исходные данные'!H17+AVERAGE('Исходные данные'!$H$11:$H$25))</f>
        <v>1.45</v>
      </c>
      <c r="F15" s="188"/>
      <c r="G15" s="188"/>
      <c r="H15" s="128">
        <f t="shared" si="1"/>
        <v>4.3918553706765424</v>
      </c>
      <c r="I15" s="18"/>
    </row>
    <row r="16" spans="1:10" s="15" customFormat="1" x14ac:dyDescent="0.2">
      <c r="A16" s="81">
        <v>8</v>
      </c>
      <c r="B16" s="172" t="s">
        <v>184</v>
      </c>
      <c r="C16" s="186">
        <f>2-(('Исходные данные'!C18/'Исходные данные'!E18)+SUM('Исходные данные'!$F$11:$F$25)/15)/((MAX('Исходные данные'!$F$11:$F$25))+SUM('Исходные данные'!$F$11:$F$25)/15)</f>
        <v>1.8463396111155479</v>
      </c>
      <c r="D16" s="126">
        <f>2-(MIN('Исходные данные'!$G$11:$G$25)+AVERAGE('Исходные данные'!$G$11:$G$25))/('Исходные данные'!G18+AVERAGE('Исходные данные'!$G$11:$G$25))</f>
        <v>1.2623906705539358</v>
      </c>
      <c r="E16" s="188">
        <f>2-(MIN('Исходные данные'!$H$11:$H$25)+AVERAGE('Исходные данные'!$H$11:$H$25))/('Исходные данные'!H18+AVERAGE('Исходные данные'!$H$11:$H$25))</f>
        <v>1.5769230769230769</v>
      </c>
      <c r="F16" s="188"/>
      <c r="G16" s="188"/>
      <c r="H16" s="128">
        <f t="shared" si="1"/>
        <v>4.6856533585925604</v>
      </c>
      <c r="I16" s="18"/>
    </row>
    <row r="17" spans="1:9" s="15" customFormat="1" x14ac:dyDescent="0.2">
      <c r="A17" s="82">
        <v>9</v>
      </c>
      <c r="B17" s="172" t="s">
        <v>185</v>
      </c>
      <c r="C17" s="186">
        <f>2-(('Исходные данные'!C19/'Исходные данные'!E19)+SUM('Исходные данные'!$F$11:$F$25)/15)/((MAX('Исходные данные'!$F$11:$F$25))+SUM('Исходные данные'!$F$11:$F$25)/15)</f>
        <v>1.8456907556886051</v>
      </c>
      <c r="D17" s="126">
        <f>2-(MIN('Исходные данные'!$G$11:$G$25)+AVERAGE('Исходные данные'!$G$11:$G$25))/('Исходные данные'!G19+AVERAGE('Исходные данные'!$G$11:$G$25))</f>
        <v>1.0287907869481767</v>
      </c>
      <c r="E17" s="188">
        <f>2-(MIN('Исходные данные'!$H$11:$H$25)+AVERAGE('Исходные данные'!$H$11:$H$25))/('Исходные данные'!H19+AVERAGE('Исходные данные'!$H$11:$H$25))</f>
        <v>1.6245733788395904</v>
      </c>
      <c r="F17" s="188"/>
      <c r="G17" s="188"/>
      <c r="H17" s="128">
        <f t="shared" si="1"/>
        <v>4.4990549214763726</v>
      </c>
      <c r="I17" s="18"/>
    </row>
    <row r="18" spans="1:9" s="15" customFormat="1" x14ac:dyDescent="0.2">
      <c r="A18" s="81">
        <v>10</v>
      </c>
      <c r="B18" s="172" t="s">
        <v>186</v>
      </c>
      <c r="C18" s="186">
        <f>2-(('Исходные данные'!C20/'Исходные данные'!E20)+SUM('Исходные данные'!$F$11:$F$25)/15)/((MAX('Исходные данные'!$F$11:$F$25))+SUM('Исходные данные'!$F$11:$F$25)/15)</f>
        <v>1.8431005246038401</v>
      </c>
      <c r="D18" s="126">
        <f>2-(MIN('Исходные данные'!$G$11:$G$25)+AVERAGE('Исходные данные'!$G$11:$G$25))/('Исходные данные'!G20+AVERAGE('Исходные данные'!$G$11:$G$25))</f>
        <v>1.2106084243369735</v>
      </c>
      <c r="E18" s="188">
        <f>2-(MIN('Исходные данные'!$H$11:$H$25)+AVERAGE('Исходные данные'!$H$11:$H$25))/('Исходные данные'!H20+AVERAGE('Исходные данные'!$H$11:$H$25))</f>
        <v>1.3167701863354038</v>
      </c>
      <c r="F18" s="188"/>
      <c r="G18" s="188"/>
      <c r="H18" s="128">
        <f t="shared" si="1"/>
        <v>4.3704791352762173</v>
      </c>
      <c r="I18" s="18"/>
    </row>
    <row r="19" spans="1:9" s="15" customFormat="1" x14ac:dyDescent="0.2">
      <c r="A19" s="82">
        <v>11</v>
      </c>
      <c r="B19" s="172" t="s">
        <v>187</v>
      </c>
      <c r="C19" s="186">
        <f>2-(('Исходные данные'!C21/'Исходные данные'!E21)+SUM('Исходные данные'!$F$11:$F$25)/15)/((MAX('Исходные данные'!$F$11:$F$25))+SUM('Исходные данные'!$F$11:$F$25)/15)</f>
        <v>1.8419903448659849</v>
      </c>
      <c r="D19" s="126">
        <f>2-(MIN('Исходные данные'!$G$11:$G$25)+AVERAGE('Исходные данные'!$G$11:$G$25))/('Исходные данные'!G21+AVERAGE('Исходные данные'!$G$11:$G$25))</f>
        <v>1.2623906705539358</v>
      </c>
      <c r="E19" s="188">
        <f>2-(MIN('Исходные данные'!$H$11:$H$25)+AVERAGE('Исходные данные'!$H$11:$H$25))/('Исходные данные'!H21+AVERAGE('Исходные данные'!$H$11:$H$25))</f>
        <v>1.5769230769230769</v>
      </c>
      <c r="F19" s="188"/>
      <c r="G19" s="188"/>
      <c r="H19" s="128">
        <f t="shared" si="1"/>
        <v>4.6813040923429972</v>
      </c>
      <c r="I19" s="18"/>
    </row>
    <row r="20" spans="1:9" x14ac:dyDescent="0.2">
      <c r="A20" s="81">
        <v>12</v>
      </c>
      <c r="B20" s="172" t="s">
        <v>188</v>
      </c>
      <c r="C20" s="186">
        <f>2-(('Исходные данные'!C22/'Исходные данные'!E22)+SUM('Исходные данные'!$F$11:$F$25)/15)/((MAX('Исходные данные'!$F$11:$F$25))+SUM('Исходные данные'!$F$11:$F$25)/15)</f>
        <v>1.8489948123599524</v>
      </c>
      <c r="D20" s="126">
        <f>2-(MIN('Исходные данные'!$G$11:$G$25)+AVERAGE('Исходные данные'!$G$11:$G$25))/('Исходные данные'!G22+AVERAGE('Исходные данные'!$G$11:$G$25))</f>
        <v>1.2623906705539358</v>
      </c>
      <c r="E20" s="188">
        <f>2-(MIN('Исходные данные'!$H$11:$H$25)+AVERAGE('Исходные данные'!$H$11:$H$25))/('Исходные данные'!H22+AVERAGE('Исходные данные'!$H$11:$H$25))</f>
        <v>1.5769230769230769</v>
      </c>
      <c r="F20" s="188"/>
      <c r="G20" s="188"/>
      <c r="H20" s="128">
        <f t="shared" si="1"/>
        <v>4.6883085598369654</v>
      </c>
    </row>
    <row r="21" spans="1:9" x14ac:dyDescent="0.2">
      <c r="A21" s="82">
        <v>13</v>
      </c>
      <c r="B21" s="172" t="s">
        <v>189</v>
      </c>
      <c r="C21" s="186">
        <f>2-(('Исходные данные'!C23/'Исходные данные'!E23)+SUM('Исходные данные'!$F$11:$F$25)/15)/((MAX('Исходные данные'!$F$11:$F$25))+SUM('Исходные данные'!$F$11:$F$25)/15)</f>
        <v>1.8656301304432976</v>
      </c>
      <c r="D21" s="126">
        <f>2-(MIN('Исходные данные'!$G$11:$G$25)+AVERAGE('Исходные данные'!$G$11:$G$25))/('Исходные данные'!G23+AVERAGE('Исходные данные'!$G$11:$G$25))</f>
        <v>1.2373775433308214</v>
      </c>
      <c r="E21" s="188">
        <f>2-(MIN('Исходные данные'!$H$11:$H$25)+AVERAGE('Исходные данные'!$H$11:$H$25))/('Исходные данные'!H23+AVERAGE('Исходные данные'!$H$11:$H$25))</f>
        <v>1.4883720930232558</v>
      </c>
      <c r="F21" s="188"/>
      <c r="G21" s="188"/>
      <c r="H21" s="128">
        <f t="shared" si="1"/>
        <v>4.5913797667973748</v>
      </c>
    </row>
    <row r="22" spans="1:9" x14ac:dyDescent="0.2">
      <c r="A22" s="81">
        <v>14</v>
      </c>
      <c r="B22" s="172" t="s">
        <v>190</v>
      </c>
      <c r="C22" s="186">
        <f>2-(('Исходные данные'!C24/'Исходные данные'!E24)+SUM('Исходные данные'!$F$11:$F$25)/15)/((MAX('Исходные данные'!$F$11:$F$25))+SUM('Исходные данные'!$F$11:$F$25)/15)</f>
        <v>1.8622026739763389</v>
      </c>
      <c r="D22" s="126">
        <f>2-(MIN('Исходные данные'!$G$11:$G$25)+AVERAGE('Исходные данные'!$G$11:$G$25))/('Исходные данные'!G24+AVERAGE('Исходные данные'!$G$11:$G$25))</f>
        <v>1.2390977443609024</v>
      </c>
      <c r="E22" s="188">
        <f>2-(MIN('Исходные данные'!$H$11:$H$25)+AVERAGE('Исходные данные'!$H$11:$H$25))/('Исходные данные'!H24+AVERAGE('Исходные данные'!$H$11:$H$25))</f>
        <v>1.4954128440366972</v>
      </c>
      <c r="F22" s="188"/>
      <c r="G22" s="188"/>
      <c r="H22" s="128">
        <f t="shared" si="1"/>
        <v>4.5967132623739388</v>
      </c>
    </row>
    <row r="23" spans="1:9" x14ac:dyDescent="0.2">
      <c r="A23" s="82">
        <v>15</v>
      </c>
      <c r="B23" s="172" t="s">
        <v>191</v>
      </c>
      <c r="C23" s="186">
        <f>2-(('Исходные данные'!C25/'Исходные данные'!E25)+SUM('Исходные данные'!$F$11:$F$25)/15)/((MAX('Исходные данные'!$F$11:$F$25))+SUM('Исходные данные'!$F$11:$F$25)/15)</f>
        <v>1</v>
      </c>
      <c r="D23" s="126">
        <f>2-(MIN('Исходные данные'!$G$11:$G$25)+AVERAGE('Исходные данные'!$G$11:$G$25))/('Исходные данные'!G25+AVERAGE('Исходные данные'!$G$11:$G$25))</f>
        <v>1.173877551020408</v>
      </c>
      <c r="E23" s="188">
        <f>2-(MIN('Исходные данные'!$H$11:$H$25)+AVERAGE('Исходные данные'!$H$11:$H$25))/('Исходные данные'!H25+AVERAGE('Исходные данные'!$H$11:$H$25))</f>
        <v>1</v>
      </c>
      <c r="F23" s="188"/>
      <c r="G23" s="188"/>
      <c r="H23" s="128">
        <f t="shared" si="1"/>
        <v>3.173877551020408</v>
      </c>
    </row>
    <row r="25" spans="1:9" ht="116.25" customHeight="1" x14ac:dyDescent="0.2">
      <c r="A25" s="244" t="s">
        <v>86</v>
      </c>
      <c r="B25" s="244"/>
      <c r="C25" s="244"/>
      <c r="D25" s="244"/>
      <c r="E25" s="244"/>
      <c r="F25" s="244"/>
      <c r="G25" s="244"/>
      <c r="H25" s="244"/>
    </row>
  </sheetData>
  <sheetProtection selectLockedCells="1" selectUnlockedCells="1"/>
  <mergeCells count="9">
    <mergeCell ref="A2:H2"/>
    <mergeCell ref="A4:A7"/>
    <mergeCell ref="B4:B7"/>
    <mergeCell ref="H4:H7"/>
    <mergeCell ref="A25:H25"/>
    <mergeCell ref="D5:D7"/>
    <mergeCell ref="E5:E7"/>
    <mergeCell ref="F5:F7"/>
    <mergeCell ref="G5:G7"/>
  </mergeCells>
  <pageMargins left="0.24" right="0.28999999999999998" top="0.52" bottom="0.74803149606299213" header="0.27" footer="0.51181102362204722"/>
  <pageSetup paperSize="9" scale="6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1"/>
  <sheetViews>
    <sheetView zoomScale="60" zoomScaleNormal="60" workbookViewId="0">
      <pane xSplit="3" ySplit="8" topLeftCell="GC9" activePane="bottomRight" state="frozen"/>
      <selection pane="topRight" activeCell="D1" sqref="D1"/>
      <selection pane="bottomLeft" activeCell="A9" sqref="A9"/>
      <selection pane="bottomRight" activeCell="P10" sqref="P10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1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5.71093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5703125" style="16" customWidth="1"/>
    <col min="196" max="16384" width="15.28515625" style="16"/>
  </cols>
  <sheetData>
    <row r="1" spans="1:196" s="17" customFormat="1" ht="22.5" customHeight="1" x14ac:dyDescent="0.2">
      <c r="A1" s="115"/>
      <c r="B1" s="115" t="s">
        <v>213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6" s="5" customFormat="1" ht="16.5" thickBot="1" x14ac:dyDescent="0.25"/>
    <row r="3" spans="1:196" s="33" customFormat="1" ht="34.5" customHeight="1" thickBot="1" x14ac:dyDescent="0.25">
      <c r="A3" s="277" t="s">
        <v>7</v>
      </c>
      <c r="B3" s="280" t="s">
        <v>58</v>
      </c>
      <c r="C3" s="283" t="s">
        <v>9</v>
      </c>
      <c r="D3" s="284"/>
      <c r="E3" s="284"/>
      <c r="F3" s="285"/>
      <c r="G3" s="253" t="s">
        <v>59</v>
      </c>
      <c r="H3" s="254"/>
      <c r="I3" s="254"/>
      <c r="J3" s="255"/>
      <c r="K3" s="261" t="s">
        <v>83</v>
      </c>
      <c r="L3" s="66" t="s">
        <v>51</v>
      </c>
      <c r="M3" s="258" t="s">
        <v>80</v>
      </c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259"/>
      <c r="BP3" s="259"/>
      <c r="BQ3" s="259"/>
      <c r="BR3" s="259"/>
      <c r="BS3" s="260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17"/>
      <c r="EJ3" s="117"/>
      <c r="EK3" s="117"/>
      <c r="EL3" s="117"/>
      <c r="EM3" s="117"/>
      <c r="EN3" s="117"/>
      <c r="EO3" s="117"/>
      <c r="EP3" s="117"/>
      <c r="EQ3" s="117"/>
      <c r="ER3" s="117"/>
      <c r="ES3" s="117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7"/>
      <c r="FS3" s="117"/>
      <c r="FT3" s="117"/>
      <c r="FU3" s="117"/>
      <c r="FV3" s="117"/>
      <c r="FW3" s="117"/>
      <c r="FX3" s="117"/>
      <c r="FY3" s="117"/>
      <c r="FZ3" s="117"/>
      <c r="GA3" s="117"/>
      <c r="GB3" s="117"/>
      <c r="GC3" s="117"/>
      <c r="GD3" s="117"/>
      <c r="GE3" s="117"/>
      <c r="GF3" s="117"/>
      <c r="GG3" s="117"/>
      <c r="GH3" s="117"/>
      <c r="GI3" s="117"/>
      <c r="GJ3" s="268" t="s">
        <v>84</v>
      </c>
      <c r="GK3" s="274" t="s">
        <v>85</v>
      </c>
      <c r="GL3" s="271" t="s">
        <v>82</v>
      </c>
      <c r="GM3" s="250" t="s">
        <v>205</v>
      </c>
    </row>
    <row r="4" spans="1:196" s="23" customFormat="1" ht="29.25" customHeight="1" x14ac:dyDescent="0.2">
      <c r="A4" s="278"/>
      <c r="B4" s="281"/>
      <c r="C4" s="288" t="s">
        <v>10</v>
      </c>
      <c r="D4" s="289"/>
      <c r="E4" s="288" t="s">
        <v>11</v>
      </c>
      <c r="F4" s="289"/>
      <c r="G4" s="290" t="s">
        <v>207</v>
      </c>
      <c r="H4" s="272" t="s">
        <v>12</v>
      </c>
      <c r="I4" s="272" t="s">
        <v>64</v>
      </c>
      <c r="J4" s="256" t="s">
        <v>67</v>
      </c>
      <c r="K4" s="262"/>
      <c r="L4" s="292" t="s">
        <v>208</v>
      </c>
      <c r="M4" s="264" t="s">
        <v>13</v>
      </c>
      <c r="N4" s="265"/>
      <c r="O4" s="265"/>
      <c r="P4" s="265"/>
      <c r="Q4" s="266"/>
      <c r="R4" s="264" t="s">
        <v>14</v>
      </c>
      <c r="S4" s="265"/>
      <c r="T4" s="265"/>
      <c r="U4" s="265"/>
      <c r="V4" s="265"/>
      <c r="W4" s="266"/>
      <c r="X4" s="264" t="s">
        <v>15</v>
      </c>
      <c r="Y4" s="265"/>
      <c r="Z4" s="265"/>
      <c r="AA4" s="265"/>
      <c r="AB4" s="265"/>
      <c r="AC4" s="266"/>
      <c r="AD4" s="264" t="s">
        <v>16</v>
      </c>
      <c r="AE4" s="265"/>
      <c r="AF4" s="265"/>
      <c r="AG4" s="265"/>
      <c r="AH4" s="265"/>
      <c r="AI4" s="266"/>
      <c r="AJ4" s="264" t="s">
        <v>17</v>
      </c>
      <c r="AK4" s="265"/>
      <c r="AL4" s="265"/>
      <c r="AM4" s="265"/>
      <c r="AN4" s="265"/>
      <c r="AO4" s="266"/>
      <c r="AP4" s="264" t="s">
        <v>18</v>
      </c>
      <c r="AQ4" s="265"/>
      <c r="AR4" s="265"/>
      <c r="AS4" s="265"/>
      <c r="AT4" s="265"/>
      <c r="AU4" s="266"/>
      <c r="AV4" s="264" t="s">
        <v>19</v>
      </c>
      <c r="AW4" s="265"/>
      <c r="AX4" s="265"/>
      <c r="AY4" s="265"/>
      <c r="AZ4" s="265"/>
      <c r="BA4" s="266"/>
      <c r="BB4" s="264" t="s">
        <v>20</v>
      </c>
      <c r="BC4" s="265"/>
      <c r="BD4" s="265"/>
      <c r="BE4" s="265"/>
      <c r="BF4" s="265"/>
      <c r="BG4" s="266"/>
      <c r="BH4" s="264" t="s">
        <v>21</v>
      </c>
      <c r="BI4" s="265"/>
      <c r="BJ4" s="265"/>
      <c r="BK4" s="265"/>
      <c r="BL4" s="265"/>
      <c r="BM4" s="266"/>
      <c r="BN4" s="264" t="s">
        <v>22</v>
      </c>
      <c r="BO4" s="265"/>
      <c r="BP4" s="265"/>
      <c r="BQ4" s="265"/>
      <c r="BR4" s="265"/>
      <c r="BS4" s="267"/>
      <c r="BT4" s="264" t="s">
        <v>88</v>
      </c>
      <c r="BU4" s="265"/>
      <c r="BV4" s="265"/>
      <c r="BW4" s="265"/>
      <c r="BX4" s="265"/>
      <c r="BY4" s="267"/>
      <c r="BZ4" s="264" t="s">
        <v>91</v>
      </c>
      <c r="CA4" s="265"/>
      <c r="CB4" s="265"/>
      <c r="CC4" s="265"/>
      <c r="CD4" s="265"/>
      <c r="CE4" s="267"/>
      <c r="CF4" s="264" t="s">
        <v>92</v>
      </c>
      <c r="CG4" s="265"/>
      <c r="CH4" s="265"/>
      <c r="CI4" s="265"/>
      <c r="CJ4" s="265"/>
      <c r="CK4" s="267"/>
      <c r="CL4" s="264" t="s">
        <v>97</v>
      </c>
      <c r="CM4" s="265"/>
      <c r="CN4" s="265"/>
      <c r="CO4" s="265"/>
      <c r="CP4" s="265"/>
      <c r="CQ4" s="267"/>
      <c r="CR4" s="264" t="s">
        <v>100</v>
      </c>
      <c r="CS4" s="265"/>
      <c r="CT4" s="265"/>
      <c r="CU4" s="265"/>
      <c r="CV4" s="265"/>
      <c r="CW4" s="267"/>
      <c r="CX4" s="264" t="s">
        <v>103</v>
      </c>
      <c r="CY4" s="265"/>
      <c r="CZ4" s="265"/>
      <c r="DA4" s="265"/>
      <c r="DB4" s="265"/>
      <c r="DC4" s="267"/>
      <c r="DD4" s="264" t="s">
        <v>106</v>
      </c>
      <c r="DE4" s="265"/>
      <c r="DF4" s="265"/>
      <c r="DG4" s="265"/>
      <c r="DH4" s="265"/>
      <c r="DI4" s="267"/>
      <c r="DJ4" s="264" t="s">
        <v>109</v>
      </c>
      <c r="DK4" s="265"/>
      <c r="DL4" s="265"/>
      <c r="DM4" s="265"/>
      <c r="DN4" s="265"/>
      <c r="DO4" s="267"/>
      <c r="DP4" s="264" t="s">
        <v>112</v>
      </c>
      <c r="DQ4" s="265"/>
      <c r="DR4" s="265"/>
      <c r="DS4" s="265"/>
      <c r="DT4" s="265"/>
      <c r="DU4" s="267"/>
      <c r="DV4" s="264" t="s">
        <v>115</v>
      </c>
      <c r="DW4" s="265"/>
      <c r="DX4" s="265"/>
      <c r="DY4" s="265"/>
      <c r="DZ4" s="265"/>
      <c r="EA4" s="267"/>
      <c r="EB4" s="264" t="s">
        <v>137</v>
      </c>
      <c r="EC4" s="265"/>
      <c r="ED4" s="265"/>
      <c r="EE4" s="265"/>
      <c r="EF4" s="265"/>
      <c r="EG4" s="267"/>
      <c r="EH4" s="264" t="s">
        <v>141</v>
      </c>
      <c r="EI4" s="265"/>
      <c r="EJ4" s="265"/>
      <c r="EK4" s="265"/>
      <c r="EL4" s="265"/>
      <c r="EM4" s="267"/>
      <c r="EN4" s="264" t="s">
        <v>145</v>
      </c>
      <c r="EO4" s="265"/>
      <c r="EP4" s="265"/>
      <c r="EQ4" s="265"/>
      <c r="ER4" s="265"/>
      <c r="ES4" s="267"/>
      <c r="ET4" s="264" t="s">
        <v>149</v>
      </c>
      <c r="EU4" s="265"/>
      <c r="EV4" s="265"/>
      <c r="EW4" s="265"/>
      <c r="EX4" s="265"/>
      <c r="EY4" s="267"/>
      <c r="EZ4" s="264" t="s">
        <v>153</v>
      </c>
      <c r="FA4" s="265"/>
      <c r="FB4" s="265"/>
      <c r="FC4" s="265"/>
      <c r="FD4" s="265"/>
      <c r="FE4" s="267"/>
      <c r="FF4" s="264" t="s">
        <v>157</v>
      </c>
      <c r="FG4" s="265"/>
      <c r="FH4" s="265"/>
      <c r="FI4" s="265"/>
      <c r="FJ4" s="265"/>
      <c r="FK4" s="267"/>
      <c r="FL4" s="264" t="s">
        <v>161</v>
      </c>
      <c r="FM4" s="265"/>
      <c r="FN4" s="265"/>
      <c r="FO4" s="265"/>
      <c r="FP4" s="265"/>
      <c r="FQ4" s="267"/>
      <c r="FR4" s="264" t="s">
        <v>165</v>
      </c>
      <c r="FS4" s="265"/>
      <c r="FT4" s="265"/>
      <c r="FU4" s="265"/>
      <c r="FV4" s="265"/>
      <c r="FW4" s="267"/>
      <c r="FX4" s="264" t="s">
        <v>169</v>
      </c>
      <c r="FY4" s="265"/>
      <c r="FZ4" s="265"/>
      <c r="GA4" s="265"/>
      <c r="GB4" s="265"/>
      <c r="GC4" s="267"/>
      <c r="GD4" s="264" t="s">
        <v>172</v>
      </c>
      <c r="GE4" s="265"/>
      <c r="GF4" s="265"/>
      <c r="GG4" s="265"/>
      <c r="GH4" s="265"/>
      <c r="GI4" s="267"/>
      <c r="GJ4" s="269"/>
      <c r="GK4" s="275"/>
      <c r="GL4" s="271"/>
      <c r="GM4" s="251"/>
    </row>
    <row r="5" spans="1:196" s="23" customFormat="1" ht="246" customHeight="1" thickBot="1" x14ac:dyDescent="0.25">
      <c r="A5" s="278"/>
      <c r="B5" s="282"/>
      <c r="C5" s="286" t="s">
        <v>70</v>
      </c>
      <c r="D5" s="287"/>
      <c r="E5" s="286" t="s">
        <v>78</v>
      </c>
      <c r="F5" s="287"/>
      <c r="G5" s="291"/>
      <c r="H5" s="273"/>
      <c r="I5" s="273"/>
      <c r="J5" s="257"/>
      <c r="K5" s="263"/>
      <c r="L5" s="293"/>
      <c r="M5" s="63" t="s">
        <v>57</v>
      </c>
      <c r="N5" s="123" t="s">
        <v>127</v>
      </c>
      <c r="O5" s="64" t="s">
        <v>65</v>
      </c>
      <c r="P5" s="64" t="s">
        <v>81</v>
      </c>
      <c r="Q5" s="65" t="s">
        <v>23</v>
      </c>
      <c r="R5" s="63" t="s">
        <v>24</v>
      </c>
      <c r="S5" s="123" t="s">
        <v>128</v>
      </c>
      <c r="T5" s="64" t="s">
        <v>57</v>
      </c>
      <c r="U5" s="64" t="s">
        <v>65</v>
      </c>
      <c r="V5" s="64" t="s">
        <v>81</v>
      </c>
      <c r="W5" s="65" t="s">
        <v>25</v>
      </c>
      <c r="X5" s="63" t="s">
        <v>26</v>
      </c>
      <c r="Y5" s="123" t="s">
        <v>129</v>
      </c>
      <c r="Z5" s="64" t="s">
        <v>57</v>
      </c>
      <c r="AA5" s="64" t="s">
        <v>65</v>
      </c>
      <c r="AB5" s="64" t="s">
        <v>81</v>
      </c>
      <c r="AC5" s="65" t="s">
        <v>27</v>
      </c>
      <c r="AD5" s="63" t="s">
        <v>28</v>
      </c>
      <c r="AE5" s="123" t="s">
        <v>130</v>
      </c>
      <c r="AF5" s="64" t="s">
        <v>57</v>
      </c>
      <c r="AG5" s="64" t="s">
        <v>65</v>
      </c>
      <c r="AH5" s="64" t="s">
        <v>81</v>
      </c>
      <c r="AI5" s="65" t="s">
        <v>29</v>
      </c>
      <c r="AJ5" s="63" t="s">
        <v>30</v>
      </c>
      <c r="AK5" s="123" t="s">
        <v>131</v>
      </c>
      <c r="AL5" s="64" t="s">
        <v>57</v>
      </c>
      <c r="AM5" s="64" t="s">
        <v>65</v>
      </c>
      <c r="AN5" s="64" t="s">
        <v>81</v>
      </c>
      <c r="AO5" s="65" t="s">
        <v>31</v>
      </c>
      <c r="AP5" s="63" t="s">
        <v>32</v>
      </c>
      <c r="AQ5" s="123" t="s">
        <v>132</v>
      </c>
      <c r="AR5" s="64" t="s">
        <v>57</v>
      </c>
      <c r="AS5" s="64" t="s">
        <v>65</v>
      </c>
      <c r="AT5" s="64" t="s">
        <v>81</v>
      </c>
      <c r="AU5" s="65" t="s">
        <v>33</v>
      </c>
      <c r="AV5" s="63" t="s">
        <v>34</v>
      </c>
      <c r="AW5" s="123" t="s">
        <v>133</v>
      </c>
      <c r="AX5" s="64" t="s">
        <v>57</v>
      </c>
      <c r="AY5" s="64" t="s">
        <v>65</v>
      </c>
      <c r="AZ5" s="64" t="s">
        <v>81</v>
      </c>
      <c r="BA5" s="65" t="s">
        <v>35</v>
      </c>
      <c r="BB5" s="63" t="s">
        <v>36</v>
      </c>
      <c r="BC5" s="123" t="s">
        <v>134</v>
      </c>
      <c r="BD5" s="64" t="s">
        <v>57</v>
      </c>
      <c r="BE5" s="64" t="s">
        <v>65</v>
      </c>
      <c r="BF5" s="64" t="s">
        <v>81</v>
      </c>
      <c r="BG5" s="65" t="s">
        <v>37</v>
      </c>
      <c r="BH5" s="63" t="s">
        <v>38</v>
      </c>
      <c r="BI5" s="123" t="s">
        <v>135</v>
      </c>
      <c r="BJ5" s="64" t="s">
        <v>57</v>
      </c>
      <c r="BK5" s="64" t="s">
        <v>65</v>
      </c>
      <c r="BL5" s="64" t="s">
        <v>81</v>
      </c>
      <c r="BM5" s="65" t="s">
        <v>39</v>
      </c>
      <c r="BN5" s="63" t="s">
        <v>40</v>
      </c>
      <c r="BO5" s="123" t="s">
        <v>136</v>
      </c>
      <c r="BP5" s="64" t="s">
        <v>57</v>
      </c>
      <c r="BQ5" s="64" t="s">
        <v>65</v>
      </c>
      <c r="BR5" s="64" t="s">
        <v>81</v>
      </c>
      <c r="BS5" s="79" t="s">
        <v>41</v>
      </c>
      <c r="BT5" s="63" t="s">
        <v>89</v>
      </c>
      <c r="BU5" s="123" t="s">
        <v>118</v>
      </c>
      <c r="BV5" s="121" t="s">
        <v>57</v>
      </c>
      <c r="BW5" s="121" t="s">
        <v>65</v>
      </c>
      <c r="BX5" s="121" t="s">
        <v>81</v>
      </c>
      <c r="BY5" s="122" t="s">
        <v>90</v>
      </c>
      <c r="BZ5" s="63" t="s">
        <v>93</v>
      </c>
      <c r="CA5" s="123" t="s">
        <v>119</v>
      </c>
      <c r="CB5" s="121" t="s">
        <v>57</v>
      </c>
      <c r="CC5" s="121" t="s">
        <v>65</v>
      </c>
      <c r="CD5" s="121" t="s">
        <v>81</v>
      </c>
      <c r="CE5" s="122" t="s">
        <v>94</v>
      </c>
      <c r="CF5" s="63" t="s">
        <v>95</v>
      </c>
      <c r="CG5" s="123" t="s">
        <v>120</v>
      </c>
      <c r="CH5" s="121" t="s">
        <v>57</v>
      </c>
      <c r="CI5" s="121" t="s">
        <v>65</v>
      </c>
      <c r="CJ5" s="121" t="s">
        <v>81</v>
      </c>
      <c r="CK5" s="122" t="s">
        <v>96</v>
      </c>
      <c r="CL5" s="63" t="s">
        <v>98</v>
      </c>
      <c r="CM5" s="123" t="s">
        <v>121</v>
      </c>
      <c r="CN5" s="121" t="s">
        <v>57</v>
      </c>
      <c r="CO5" s="121" t="s">
        <v>65</v>
      </c>
      <c r="CP5" s="121" t="s">
        <v>81</v>
      </c>
      <c r="CQ5" s="122" t="s">
        <v>99</v>
      </c>
      <c r="CR5" s="63" t="s">
        <v>101</v>
      </c>
      <c r="CS5" s="123" t="s">
        <v>122</v>
      </c>
      <c r="CT5" s="121" t="s">
        <v>57</v>
      </c>
      <c r="CU5" s="121" t="s">
        <v>65</v>
      </c>
      <c r="CV5" s="121" t="s">
        <v>81</v>
      </c>
      <c r="CW5" s="122" t="s">
        <v>102</v>
      </c>
      <c r="CX5" s="63" t="s">
        <v>104</v>
      </c>
      <c r="CY5" s="123" t="s">
        <v>123</v>
      </c>
      <c r="CZ5" s="121" t="s">
        <v>57</v>
      </c>
      <c r="DA5" s="121" t="s">
        <v>65</v>
      </c>
      <c r="DB5" s="121" t="s">
        <v>81</v>
      </c>
      <c r="DC5" s="122" t="s">
        <v>105</v>
      </c>
      <c r="DD5" s="63" t="s">
        <v>107</v>
      </c>
      <c r="DE5" s="123" t="s">
        <v>124</v>
      </c>
      <c r="DF5" s="121" t="s">
        <v>57</v>
      </c>
      <c r="DG5" s="121" t="s">
        <v>65</v>
      </c>
      <c r="DH5" s="121" t="s">
        <v>81</v>
      </c>
      <c r="DI5" s="122" t="s">
        <v>108</v>
      </c>
      <c r="DJ5" s="63" t="s">
        <v>110</v>
      </c>
      <c r="DK5" s="121" t="s">
        <v>66</v>
      </c>
      <c r="DL5" s="121" t="s">
        <v>57</v>
      </c>
      <c r="DM5" s="121" t="s">
        <v>65</v>
      </c>
      <c r="DN5" s="121" t="s">
        <v>81</v>
      </c>
      <c r="DO5" s="122" t="s">
        <v>111</v>
      </c>
      <c r="DP5" s="63" t="s">
        <v>113</v>
      </c>
      <c r="DQ5" s="123" t="s">
        <v>125</v>
      </c>
      <c r="DR5" s="121" t="s">
        <v>57</v>
      </c>
      <c r="DS5" s="121" t="s">
        <v>65</v>
      </c>
      <c r="DT5" s="121" t="s">
        <v>81</v>
      </c>
      <c r="DU5" s="122" t="s">
        <v>114</v>
      </c>
      <c r="DV5" s="63" t="s">
        <v>117</v>
      </c>
      <c r="DW5" s="123" t="s">
        <v>126</v>
      </c>
      <c r="DX5" s="121" t="s">
        <v>57</v>
      </c>
      <c r="DY5" s="121" t="s">
        <v>65</v>
      </c>
      <c r="DZ5" s="121" t="s">
        <v>81</v>
      </c>
      <c r="EA5" s="122" t="s">
        <v>116</v>
      </c>
      <c r="EB5" s="63" t="s">
        <v>138</v>
      </c>
      <c r="EC5" s="124" t="s">
        <v>139</v>
      </c>
      <c r="ED5" s="124" t="s">
        <v>57</v>
      </c>
      <c r="EE5" s="124" t="s">
        <v>65</v>
      </c>
      <c r="EF5" s="124" t="s">
        <v>81</v>
      </c>
      <c r="EG5" s="125" t="s">
        <v>140</v>
      </c>
      <c r="EH5" s="63" t="s">
        <v>142</v>
      </c>
      <c r="EI5" s="124" t="s">
        <v>143</v>
      </c>
      <c r="EJ5" s="124" t="s">
        <v>57</v>
      </c>
      <c r="EK5" s="124" t="s">
        <v>65</v>
      </c>
      <c r="EL5" s="124" t="s">
        <v>81</v>
      </c>
      <c r="EM5" s="125" t="s">
        <v>144</v>
      </c>
      <c r="EN5" s="63" t="s">
        <v>146</v>
      </c>
      <c r="EO5" s="124" t="s">
        <v>147</v>
      </c>
      <c r="EP5" s="124" t="s">
        <v>57</v>
      </c>
      <c r="EQ5" s="124" t="s">
        <v>65</v>
      </c>
      <c r="ER5" s="124" t="s">
        <v>81</v>
      </c>
      <c r="ES5" s="125" t="s">
        <v>148</v>
      </c>
      <c r="ET5" s="63" t="s">
        <v>150</v>
      </c>
      <c r="EU5" s="124" t="s">
        <v>151</v>
      </c>
      <c r="EV5" s="124" t="s">
        <v>57</v>
      </c>
      <c r="EW5" s="124" t="s">
        <v>65</v>
      </c>
      <c r="EX5" s="124" t="s">
        <v>81</v>
      </c>
      <c r="EY5" s="125" t="s">
        <v>152</v>
      </c>
      <c r="EZ5" s="63" t="s">
        <v>154</v>
      </c>
      <c r="FA5" s="124" t="s">
        <v>155</v>
      </c>
      <c r="FB5" s="124" t="s">
        <v>57</v>
      </c>
      <c r="FC5" s="124" t="s">
        <v>65</v>
      </c>
      <c r="FD5" s="124" t="s">
        <v>81</v>
      </c>
      <c r="FE5" s="125" t="s">
        <v>156</v>
      </c>
      <c r="FF5" s="63" t="s">
        <v>158</v>
      </c>
      <c r="FG5" s="124" t="s">
        <v>159</v>
      </c>
      <c r="FH5" s="124" t="s">
        <v>57</v>
      </c>
      <c r="FI5" s="124" t="s">
        <v>65</v>
      </c>
      <c r="FJ5" s="124" t="s">
        <v>81</v>
      </c>
      <c r="FK5" s="125" t="s">
        <v>160</v>
      </c>
      <c r="FL5" s="63" t="s">
        <v>162</v>
      </c>
      <c r="FM5" s="124" t="s">
        <v>163</v>
      </c>
      <c r="FN5" s="124" t="s">
        <v>57</v>
      </c>
      <c r="FO5" s="124" t="s">
        <v>65</v>
      </c>
      <c r="FP5" s="124" t="s">
        <v>81</v>
      </c>
      <c r="FQ5" s="125" t="s">
        <v>164</v>
      </c>
      <c r="FR5" s="63" t="s">
        <v>166</v>
      </c>
      <c r="FS5" s="124" t="s">
        <v>167</v>
      </c>
      <c r="FT5" s="124" t="s">
        <v>57</v>
      </c>
      <c r="FU5" s="124" t="s">
        <v>65</v>
      </c>
      <c r="FV5" s="124" t="s">
        <v>81</v>
      </c>
      <c r="FW5" s="125" t="s">
        <v>168</v>
      </c>
      <c r="FX5" s="63" t="s">
        <v>170</v>
      </c>
      <c r="FY5" s="124" t="s">
        <v>174</v>
      </c>
      <c r="FZ5" s="124" t="s">
        <v>57</v>
      </c>
      <c r="GA5" s="124" t="s">
        <v>65</v>
      </c>
      <c r="GB5" s="124" t="s">
        <v>81</v>
      </c>
      <c r="GC5" s="125" t="s">
        <v>171</v>
      </c>
      <c r="GD5" s="63" t="s">
        <v>173</v>
      </c>
      <c r="GE5" s="124" t="s">
        <v>175</v>
      </c>
      <c r="GF5" s="124" t="s">
        <v>57</v>
      </c>
      <c r="GG5" s="124" t="s">
        <v>65</v>
      </c>
      <c r="GH5" s="124" t="s">
        <v>81</v>
      </c>
      <c r="GI5" s="125" t="s">
        <v>176</v>
      </c>
      <c r="GJ5" s="270"/>
      <c r="GK5" s="276"/>
      <c r="GL5" s="271"/>
      <c r="GM5" s="252"/>
    </row>
    <row r="6" spans="1:196" s="23" customFormat="1" ht="19.5" thickBot="1" x14ac:dyDescent="0.25">
      <c r="A6" s="279"/>
      <c r="B6" s="97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74</v>
      </c>
      <c r="J6" s="104" t="s">
        <v>69</v>
      </c>
      <c r="K6" s="109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104" t="s">
        <v>52</v>
      </c>
      <c r="BT6" s="68" t="s">
        <v>46</v>
      </c>
      <c r="BU6" s="61" t="s">
        <v>55</v>
      </c>
      <c r="BV6" s="61" t="s">
        <v>47</v>
      </c>
      <c r="BW6" s="61" t="s">
        <v>87</v>
      </c>
      <c r="BX6" s="61" t="s">
        <v>53</v>
      </c>
      <c r="BY6" s="104" t="s">
        <v>52</v>
      </c>
      <c r="BZ6" s="68" t="s">
        <v>46</v>
      </c>
      <c r="CA6" s="61" t="s">
        <v>55</v>
      </c>
      <c r="CB6" s="61" t="s">
        <v>47</v>
      </c>
      <c r="CC6" s="61" t="s">
        <v>87</v>
      </c>
      <c r="CD6" s="61" t="s">
        <v>53</v>
      </c>
      <c r="CE6" s="104" t="s">
        <v>52</v>
      </c>
      <c r="CF6" s="68" t="s">
        <v>46</v>
      </c>
      <c r="CG6" s="61" t="s">
        <v>55</v>
      </c>
      <c r="CH6" s="61" t="s">
        <v>47</v>
      </c>
      <c r="CI6" s="61" t="s">
        <v>87</v>
      </c>
      <c r="CJ6" s="61" t="s">
        <v>53</v>
      </c>
      <c r="CK6" s="104" t="s">
        <v>52</v>
      </c>
      <c r="CL6" s="68" t="s">
        <v>46</v>
      </c>
      <c r="CM6" s="61" t="s">
        <v>55</v>
      </c>
      <c r="CN6" s="61" t="s">
        <v>47</v>
      </c>
      <c r="CO6" s="61" t="s">
        <v>87</v>
      </c>
      <c r="CP6" s="61" t="s">
        <v>53</v>
      </c>
      <c r="CQ6" s="104" t="s">
        <v>52</v>
      </c>
      <c r="CR6" s="68" t="s">
        <v>46</v>
      </c>
      <c r="CS6" s="61" t="s">
        <v>55</v>
      </c>
      <c r="CT6" s="61" t="s">
        <v>47</v>
      </c>
      <c r="CU6" s="61" t="s">
        <v>87</v>
      </c>
      <c r="CV6" s="61" t="s">
        <v>53</v>
      </c>
      <c r="CW6" s="104" t="s">
        <v>52</v>
      </c>
      <c r="CX6" s="68" t="s">
        <v>46</v>
      </c>
      <c r="CY6" s="61" t="s">
        <v>55</v>
      </c>
      <c r="CZ6" s="61" t="s">
        <v>47</v>
      </c>
      <c r="DA6" s="61" t="s">
        <v>87</v>
      </c>
      <c r="DB6" s="61" t="s">
        <v>53</v>
      </c>
      <c r="DC6" s="104" t="s">
        <v>52</v>
      </c>
      <c r="DD6" s="68" t="s">
        <v>46</v>
      </c>
      <c r="DE6" s="61" t="s">
        <v>55</v>
      </c>
      <c r="DF6" s="61" t="s">
        <v>47</v>
      </c>
      <c r="DG6" s="61" t="s">
        <v>87</v>
      </c>
      <c r="DH6" s="61" t="s">
        <v>53</v>
      </c>
      <c r="DI6" s="104" t="s">
        <v>52</v>
      </c>
      <c r="DJ6" s="68" t="s">
        <v>46</v>
      </c>
      <c r="DK6" s="61" t="s">
        <v>55</v>
      </c>
      <c r="DL6" s="61" t="s">
        <v>47</v>
      </c>
      <c r="DM6" s="61" t="s">
        <v>87</v>
      </c>
      <c r="DN6" s="61" t="s">
        <v>53</v>
      </c>
      <c r="DO6" s="104" t="s">
        <v>52</v>
      </c>
      <c r="DP6" s="68" t="s">
        <v>46</v>
      </c>
      <c r="DQ6" s="61" t="s">
        <v>55</v>
      </c>
      <c r="DR6" s="61" t="s">
        <v>47</v>
      </c>
      <c r="DS6" s="61" t="s">
        <v>87</v>
      </c>
      <c r="DT6" s="61" t="s">
        <v>53</v>
      </c>
      <c r="DU6" s="104" t="s">
        <v>52</v>
      </c>
      <c r="DV6" s="68" t="s">
        <v>46</v>
      </c>
      <c r="DW6" s="61" t="s">
        <v>55</v>
      </c>
      <c r="DX6" s="61" t="s">
        <v>47</v>
      </c>
      <c r="DY6" s="61" t="s">
        <v>87</v>
      </c>
      <c r="DZ6" s="61" t="s">
        <v>53</v>
      </c>
      <c r="EA6" s="104" t="s">
        <v>52</v>
      </c>
      <c r="EB6" s="68" t="s">
        <v>46</v>
      </c>
      <c r="EC6" s="61" t="s">
        <v>55</v>
      </c>
      <c r="ED6" s="61" t="s">
        <v>47</v>
      </c>
      <c r="EE6" s="61" t="s">
        <v>87</v>
      </c>
      <c r="EF6" s="61" t="s">
        <v>53</v>
      </c>
      <c r="EG6" s="104" t="s">
        <v>52</v>
      </c>
      <c r="EH6" s="68" t="s">
        <v>46</v>
      </c>
      <c r="EI6" s="61" t="s">
        <v>55</v>
      </c>
      <c r="EJ6" s="61" t="s">
        <v>47</v>
      </c>
      <c r="EK6" s="61" t="s">
        <v>87</v>
      </c>
      <c r="EL6" s="61" t="s">
        <v>53</v>
      </c>
      <c r="EM6" s="104" t="s">
        <v>52</v>
      </c>
      <c r="EN6" s="68" t="s">
        <v>46</v>
      </c>
      <c r="EO6" s="61" t="s">
        <v>55</v>
      </c>
      <c r="EP6" s="61" t="s">
        <v>47</v>
      </c>
      <c r="EQ6" s="61" t="s">
        <v>87</v>
      </c>
      <c r="ER6" s="61" t="s">
        <v>53</v>
      </c>
      <c r="ES6" s="104" t="s">
        <v>52</v>
      </c>
      <c r="ET6" s="68" t="s">
        <v>46</v>
      </c>
      <c r="EU6" s="61" t="s">
        <v>55</v>
      </c>
      <c r="EV6" s="61" t="s">
        <v>47</v>
      </c>
      <c r="EW6" s="61" t="s">
        <v>87</v>
      </c>
      <c r="EX6" s="61" t="s">
        <v>53</v>
      </c>
      <c r="EY6" s="104" t="s">
        <v>52</v>
      </c>
      <c r="EZ6" s="68" t="s">
        <v>46</v>
      </c>
      <c r="FA6" s="61" t="s">
        <v>55</v>
      </c>
      <c r="FB6" s="61" t="s">
        <v>47</v>
      </c>
      <c r="FC6" s="61" t="s">
        <v>87</v>
      </c>
      <c r="FD6" s="61" t="s">
        <v>53</v>
      </c>
      <c r="FE6" s="104" t="s">
        <v>52</v>
      </c>
      <c r="FF6" s="68" t="s">
        <v>46</v>
      </c>
      <c r="FG6" s="61" t="s">
        <v>55</v>
      </c>
      <c r="FH6" s="61" t="s">
        <v>47</v>
      </c>
      <c r="FI6" s="61" t="s">
        <v>87</v>
      </c>
      <c r="FJ6" s="61" t="s">
        <v>53</v>
      </c>
      <c r="FK6" s="104" t="s">
        <v>52</v>
      </c>
      <c r="FL6" s="68" t="s">
        <v>46</v>
      </c>
      <c r="FM6" s="61" t="s">
        <v>55</v>
      </c>
      <c r="FN6" s="61" t="s">
        <v>47</v>
      </c>
      <c r="FO6" s="61" t="s">
        <v>87</v>
      </c>
      <c r="FP6" s="61" t="s">
        <v>53</v>
      </c>
      <c r="FQ6" s="104" t="s">
        <v>52</v>
      </c>
      <c r="FR6" s="68" t="s">
        <v>46</v>
      </c>
      <c r="FS6" s="61" t="s">
        <v>55</v>
      </c>
      <c r="FT6" s="61" t="s">
        <v>47</v>
      </c>
      <c r="FU6" s="61" t="s">
        <v>87</v>
      </c>
      <c r="FV6" s="61" t="s">
        <v>53</v>
      </c>
      <c r="FW6" s="104" t="s">
        <v>52</v>
      </c>
      <c r="FX6" s="68" t="s">
        <v>46</v>
      </c>
      <c r="FY6" s="61" t="s">
        <v>55</v>
      </c>
      <c r="FZ6" s="61" t="s">
        <v>47</v>
      </c>
      <c r="GA6" s="61" t="s">
        <v>87</v>
      </c>
      <c r="GB6" s="61" t="s">
        <v>53</v>
      </c>
      <c r="GC6" s="104" t="s">
        <v>52</v>
      </c>
      <c r="GD6" s="68" t="s">
        <v>46</v>
      </c>
      <c r="GE6" s="61" t="s">
        <v>55</v>
      </c>
      <c r="GF6" s="61" t="s">
        <v>47</v>
      </c>
      <c r="GG6" s="61" t="s">
        <v>87</v>
      </c>
      <c r="GH6" s="61" t="s">
        <v>53</v>
      </c>
      <c r="GI6" s="104" t="s">
        <v>52</v>
      </c>
      <c r="GJ6" s="159" t="s">
        <v>52</v>
      </c>
      <c r="GK6" s="157" t="s">
        <v>60</v>
      </c>
      <c r="GL6" s="202" t="s">
        <v>79</v>
      </c>
      <c r="GM6" s="201"/>
    </row>
    <row r="7" spans="1:196" s="24" customFormat="1" thickBot="1" x14ac:dyDescent="0.25">
      <c r="A7" s="94">
        <v>1</v>
      </c>
      <c r="B7" s="98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3">
        <f>F7+1</f>
        <v>7</v>
      </c>
      <c r="H7" s="58">
        <f t="shared" si="0"/>
        <v>8</v>
      </c>
      <c r="I7" s="58">
        <f t="shared" ref="I7:L7" si="1">H7+1</f>
        <v>9</v>
      </c>
      <c r="J7" s="105">
        <f>I7+1</f>
        <v>10</v>
      </c>
      <c r="K7" s="110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5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5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5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5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5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5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5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5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5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5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5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5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5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5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5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5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5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5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5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5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5">
        <f t="shared" ref="GI7" si="103">GH7+1</f>
        <v>191</v>
      </c>
      <c r="GJ7" s="59">
        <f>GI7+1</f>
        <v>192</v>
      </c>
      <c r="GK7" s="158">
        <f>GJ7+1</f>
        <v>193</v>
      </c>
      <c r="GL7" s="203">
        <f>GK7+1</f>
        <v>194</v>
      </c>
      <c r="GM7" s="204">
        <v>195</v>
      </c>
    </row>
    <row r="8" spans="1:196" s="25" customFormat="1" thickBot="1" x14ac:dyDescent="0.25">
      <c r="A8" s="95" t="s">
        <v>3</v>
      </c>
      <c r="B8" s="99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106" t="s">
        <v>68</v>
      </c>
      <c r="K8" s="111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106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106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106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106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106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106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106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106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106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106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64" t="s">
        <v>4</v>
      </c>
      <c r="EA8" s="106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64" t="s">
        <v>4</v>
      </c>
      <c r="EG8" s="106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64" t="s">
        <v>4</v>
      </c>
      <c r="EM8" s="106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64" t="s">
        <v>4</v>
      </c>
      <c r="EY8" s="106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64" t="s">
        <v>4</v>
      </c>
      <c r="FE8" s="106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64" t="s">
        <v>4</v>
      </c>
      <c r="FK8" s="106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64" t="s">
        <v>4</v>
      </c>
      <c r="FQ8" s="106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64" t="s">
        <v>4</v>
      </c>
      <c r="FW8" s="106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64" t="s">
        <v>4</v>
      </c>
      <c r="GC8" s="106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64" t="s">
        <v>4</v>
      </c>
      <c r="GI8" s="106" t="s">
        <v>4</v>
      </c>
      <c r="GJ8" s="161" t="s">
        <v>4</v>
      </c>
      <c r="GK8" s="160" t="s">
        <v>4</v>
      </c>
      <c r="GL8" s="205" t="s">
        <v>50</v>
      </c>
      <c r="GM8" s="206"/>
    </row>
    <row r="9" spans="1:196" s="22" customFormat="1" ht="18.75" x14ac:dyDescent="0.25">
      <c r="A9" s="190" t="s">
        <v>177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0">
        <v>1020</v>
      </c>
      <c r="H9" s="46">
        <f>'Исходные данные'!D11</f>
        <v>897398</v>
      </c>
      <c r="I9" s="47">
        <f>'Расчет КРП'!H9</f>
        <v>4.366945531397505</v>
      </c>
      <c r="J9" s="107" t="s">
        <v>8</v>
      </c>
      <c r="K9" s="146">
        <f t="shared" ref="K9:K23" si="104">((H9/G9)/($H$24/$G$24))/I9</f>
        <v>0.11829085721442452</v>
      </c>
      <c r="L9" s="147">
        <f t="shared" ref="L9:L23" si="105">$D$24*G9/$G$24</f>
        <v>753487.38926592807</v>
      </c>
      <c r="M9" s="151">
        <f>(((H9+L9)/G9)/$J$24)/I9</f>
        <v>0.21761208277602084</v>
      </c>
      <c r="N9" s="152" t="s">
        <v>8</v>
      </c>
      <c r="O9" s="153">
        <f>$N$24-M9</f>
        <v>8.8954208978839211E-2</v>
      </c>
      <c r="P9" s="165">
        <f t="shared" ref="P9:P23" si="106">IF(O9&gt;0,G9*I9*(($H$24+$L$24)/$G$24)*O9,0)</f>
        <v>967537.72807185585</v>
      </c>
      <c r="Q9" s="154">
        <f t="shared" ref="Q9:Q23" si="107">IF(($F$24-P$24)&gt;0,P9,$F$24*P9/P$24)</f>
        <v>967537.72807185585</v>
      </c>
      <c r="R9" s="148" t="s">
        <v>8</v>
      </c>
      <c r="S9" s="45" t="s">
        <v>8</v>
      </c>
      <c r="T9" s="49">
        <f>(((H9+L9+Q9)/G9)/$J$24)/I9</f>
        <v>0.34514843480813656</v>
      </c>
      <c r="U9" s="48">
        <f t="shared" ref="U9:U23" si="108">S$24-T9</f>
        <v>4.9724799140239306E-2</v>
      </c>
      <c r="V9" s="50">
        <f t="shared" ref="V9:V23" si="109">IF(U9&gt;0,$G9*$I9*(($H$24+$L$24+$Q$24)/$G$24)*U9,0)</f>
        <v>618169.46014159406</v>
      </c>
      <c r="W9" s="76">
        <f t="shared" ref="W9:W23" si="110">IF((R$24-V$24)&gt;0,V9,R$24*V9/V$24)</f>
        <v>618169.46014159406</v>
      </c>
      <c r="X9" s="72" t="s">
        <v>8</v>
      </c>
      <c r="Y9" s="45" t="s">
        <v>8</v>
      </c>
      <c r="Z9" s="49">
        <f>(((H9+L9+Q9+W9)/G9)/$J$24)/I9</f>
        <v>0.42663267629733892</v>
      </c>
      <c r="AA9" s="48">
        <f t="shared" ref="AA9:AA23" si="111">Y$24-Z9</f>
        <v>4.6559396378030193E-2</v>
      </c>
      <c r="AB9" s="50">
        <f t="shared" ref="AB9:AB23" si="112">IF(AA9&gt;0,$G9*$I9*(($H$24+$L$24+$Q$24+$W$24)/$G$24)*AA9,0)</f>
        <v>644849.57957926684</v>
      </c>
      <c r="AC9" s="76">
        <f t="shared" ref="AC9:AC23" si="113">IF((X$24-AB$24)&gt;0,AB9,X$24*AB9/AB$24)</f>
        <v>644849.57957926684</v>
      </c>
      <c r="AD9" s="72" t="s">
        <v>8</v>
      </c>
      <c r="AE9" s="45" t="s">
        <v>8</v>
      </c>
      <c r="AF9" s="49">
        <f t="shared" ref="AF9:AF23" si="114">(((H9+L9+Q9+W9+AC9)/G9)/$J$24)/I9</f>
        <v>0.51163376783397352</v>
      </c>
      <c r="AG9" s="48">
        <f t="shared" ref="AG9:AG23" si="115">AE$24-AF9</f>
        <v>3.0938961981563651E-2</v>
      </c>
      <c r="AH9" s="50">
        <f t="shared" ref="AH9:AH23" si="116">IF(AG9&gt;0,$G9*$I9*(($H$24+$L$24+$Q$24+$W$24+$AC$24)/$G$24)*AG9,0)</f>
        <v>465189.7261309051</v>
      </c>
      <c r="AI9" s="76">
        <f t="shared" ref="AI9:AI23" si="117">IF((AD$24-AH$24)&gt;0,AH9,AD$24*AH9/AH$24)</f>
        <v>170896.00794795755</v>
      </c>
      <c r="AJ9" s="72" t="s">
        <v>8</v>
      </c>
      <c r="AK9" s="45" t="s">
        <v>8</v>
      </c>
      <c r="AL9" s="49">
        <f t="shared" ref="AL9:AL23" si="118">(((H9+L9+Q9+W9+AC9+AI9)/G9)/$J$24)/I9</f>
        <v>0.53416048983991404</v>
      </c>
      <c r="AM9" s="48">
        <f t="shared" ref="AM9:AM23" si="119">AK$24-AL9</f>
        <v>2.9767992133960308E-2</v>
      </c>
      <c r="AN9" s="50">
        <f t="shared" ref="AN9:AN23" si="120">IF(AM9&gt;0,$G9*$I9*(($H$24+$L$24+$Q$24+$W$24+$AC$24+$AI$24)/$G$24)*AM9,0)</f>
        <v>459044.62580491399</v>
      </c>
      <c r="AO9" s="76">
        <f t="shared" ref="AO9:AO23" si="121">IF((AJ$24-AN$24)&gt;0,AN9,AJ$24*AN9/AN$24)</f>
        <v>0</v>
      </c>
      <c r="AP9" s="72" t="s">
        <v>8</v>
      </c>
      <c r="AQ9" s="45" t="s">
        <v>8</v>
      </c>
      <c r="AR9" s="49">
        <f t="shared" ref="AR9:AR23" si="122">(((H9+L9+Q9+W9+AC9+AI9+AO9)/G9)/$J$24)/I9</f>
        <v>0.53416048983991404</v>
      </c>
      <c r="AS9" s="48">
        <f t="shared" ref="AS9:AS23" si="123">AQ$24-AR9</f>
        <v>2.9767992133960308E-2</v>
      </c>
      <c r="AT9" s="50">
        <f t="shared" ref="AT9:AT23" si="124">IF(AS9&gt;0,$G9*$I9*(($H$24+$L$24+$Q$24+$W$24+$AC$24+$AI$24+$AO$24)/$G$24)*AS9,0)</f>
        <v>459044.62580491399</v>
      </c>
      <c r="AU9" s="76">
        <f t="shared" ref="AU9:AU23" si="125">IF((AP$24-AT$24)&gt;0,AT9,AP$24*AT9/AT$24)</f>
        <v>0</v>
      </c>
      <c r="AV9" s="72" t="s">
        <v>8</v>
      </c>
      <c r="AW9" s="45" t="s">
        <v>8</v>
      </c>
      <c r="AX9" s="49">
        <f t="shared" ref="AX9:AX23" si="126">(((H9+L9+Q9+W9+AC9+AI9+AO9+AU9)/G9)/$J$24)/I9</f>
        <v>0.53416048983991404</v>
      </c>
      <c r="AY9" s="48">
        <f t="shared" ref="AY9:AY23" si="127">AW$24-AX9</f>
        <v>2.9767992133960308E-2</v>
      </c>
      <c r="AZ9" s="50">
        <f t="shared" ref="AZ9:AZ23" si="128">IF(AY9&gt;0,$G9*$I9*(($H$24+$L$24+$Q$24+$W$24+$AC$24+$AI$24+$AO$24+$AU$24)/$G$24)*AY9,0)</f>
        <v>459044.62580491399</v>
      </c>
      <c r="BA9" s="76">
        <f t="shared" ref="BA9:BA23" si="129">IF((AV$24-AZ$24)&gt;0,AZ9,AV$24*AZ9/AZ$24)</f>
        <v>0</v>
      </c>
      <c r="BB9" s="72" t="s">
        <v>8</v>
      </c>
      <c r="BC9" s="45" t="s">
        <v>8</v>
      </c>
      <c r="BD9" s="49">
        <f t="shared" ref="BD9:BD23" si="130">(((H9+L9+Q9+W9+AC9+AI9+AO9+AU9+BA9)/G9)/$J$24)/I9</f>
        <v>0.53416048983991404</v>
      </c>
      <c r="BE9" s="48">
        <f t="shared" ref="BE9:BE23" si="131">BC$24-BD9</f>
        <v>2.9767992133960308E-2</v>
      </c>
      <c r="BF9" s="50">
        <f t="shared" ref="BF9:BF23" si="132">IF(BE9&gt;0,$G9*$I9*(($H$24+$L$24+$Q$24+$W$24+$AC$24+$AI$24+$AO$24+$AU$24+$BA$24)/$G$24)*BE9,0)</f>
        <v>459044.62580491399</v>
      </c>
      <c r="BG9" s="76">
        <f t="shared" ref="BG9:BG23" si="133">IF((BB$24-BF$24)&gt;0,BF9,BB$24*BF9/BF$24)</f>
        <v>0</v>
      </c>
      <c r="BH9" s="72" t="s">
        <v>8</v>
      </c>
      <c r="BI9" s="45" t="s">
        <v>8</v>
      </c>
      <c r="BJ9" s="49">
        <f t="shared" ref="BJ9:BJ23" si="134">(((H9+L9+Q9+W9+AC9+AI9+AO9+AU9+BA9+BG9)/G9)/$J$24)/I9</f>
        <v>0.53416048983991404</v>
      </c>
      <c r="BK9" s="48">
        <f t="shared" ref="BK9:BK23" si="135">BI$24-BJ9</f>
        <v>2.9767992133960308E-2</v>
      </c>
      <c r="BL9" s="50">
        <f t="shared" ref="BL9:BL23" si="136">IF(BK9&gt;0,$G9*$I9*(($H$24+$L$24+$Q$24+$W$24+$AC$24+$AI$24+$AO$24+$AU$24+$BA$24+$BG$24)/$G$24)*BK9,0)</f>
        <v>459044.62580491399</v>
      </c>
      <c r="BM9" s="76">
        <f t="shared" ref="BM9:BM23" si="137">IF((BH$24-BL$24)&gt;0,BL9,BH$24*BL9/BL$24)</f>
        <v>0</v>
      </c>
      <c r="BN9" s="72" t="s">
        <v>8</v>
      </c>
      <c r="BO9" s="45" t="s">
        <v>8</v>
      </c>
      <c r="BP9" s="49">
        <f t="shared" ref="BP9:BP23" si="138">(((H9+L9+Q9+W9+AC9+AI9+AO9+AU9+BA9+BG9+BM9)/G9)/$J$24)/I9</f>
        <v>0.53416048983991404</v>
      </c>
      <c r="BQ9" s="48">
        <f t="shared" ref="BQ9:BQ23" si="139">BO$24-BP9</f>
        <v>2.9767992133960308E-2</v>
      </c>
      <c r="BR9" s="50">
        <f t="shared" ref="BR9:BR23" si="140">IF(BQ9&gt;0,$G9*$I9*(($H$24+$L$24+$Q$24+$W$24+$AC$24+$AI$24+$AO$24+$AU$24+$BA$24+$BG$24+$BM$24)/$G$24)*BQ9,0)</f>
        <v>459044.62580491399</v>
      </c>
      <c r="BS9" s="118">
        <f t="shared" ref="BS9:BS23" si="141">IF((BN$24-BR$24)&gt;0,BR9,BN$24*BR9/BR$24)</f>
        <v>0</v>
      </c>
      <c r="BT9" s="72" t="s">
        <v>8</v>
      </c>
      <c r="BU9" s="45" t="s">
        <v>8</v>
      </c>
      <c r="BV9" s="49">
        <f t="shared" ref="BV9:BV23" si="142">(((H9+L9+Q9+W9+AC9+AI9+AO9+AU9+BA9+BG9+BM9+BS9)/G9)/$J$24)/I9</f>
        <v>0.53416048983991404</v>
      </c>
      <c r="BW9" s="48">
        <f t="shared" ref="BW9:BW23" si="143">BU$24-BV9</f>
        <v>2.9767992133960308E-2</v>
      </c>
      <c r="BX9" s="50">
        <f t="shared" ref="BX9:BX23" si="144">IF(BW9&gt;0,$G9*$I9*(($H$24+$L$24+$Q$24+$W$24+$AC$24+$AI$24+$AO$24+$AU$24+$BA$24+$BG$24+$BM$24+$BS$24)/$G$24)*BW9,0)</f>
        <v>459044.62580491399</v>
      </c>
      <c r="BY9" s="118">
        <f t="shared" ref="BY9:BY23" si="145">IF((BT$24-BX$24)&gt;0,BX9,BT$24*BX9/BX$24)</f>
        <v>0</v>
      </c>
      <c r="BZ9" s="72" t="s">
        <v>8</v>
      </c>
      <c r="CA9" s="45" t="s">
        <v>8</v>
      </c>
      <c r="CB9" s="49">
        <f t="shared" ref="CB9:CB23" si="146">(((H9+L9+Q9+W9+AC9+AI9+AO9+AU9+BA9+BG9+BM9+BS9+BY9)/G9)/$J$24)/I9</f>
        <v>0.53416048983991404</v>
      </c>
      <c r="CC9" s="48">
        <f t="shared" ref="CC9:CC23" si="147">CA$24-CB9</f>
        <v>2.9767992133960308E-2</v>
      </c>
      <c r="CD9" s="50">
        <f t="shared" ref="CD9:CD23" si="148">IF(CC9&gt;0,$G9*$I9*(($H$24+$L$24+$Q$24+$W$24+$AC$24+$AI$24+$AO$24+$AU$24+$BA$24+$BG$24+$BM$24+$BS$24+$BY$24)/$G$24)*CC9,0)</f>
        <v>459044.62580491399</v>
      </c>
      <c r="CE9" s="118">
        <f t="shared" ref="CE9:CE23" si="149">IF((BZ$24-CD$24)&gt;0,CD9,BZ$24*CD9/CD$24)</f>
        <v>0</v>
      </c>
      <c r="CF9" s="72" t="s">
        <v>8</v>
      </c>
      <c r="CG9" s="45" t="s">
        <v>8</v>
      </c>
      <c r="CH9" s="49">
        <f t="shared" ref="CH9:CH23" si="150">(((H9+L9+Q9+W9+AC9+AI9+AO9+AU9+BA9+BG9+BM9+BS9+BY9+CE9)/G9)/$J$24)/I9</f>
        <v>0.53416048983991404</v>
      </c>
      <c r="CI9" s="48">
        <f t="shared" ref="CI9:CI23" si="151">CG$24-CH9</f>
        <v>2.9767992133960308E-2</v>
      </c>
      <c r="CJ9" s="50">
        <f t="shared" ref="CJ9:CJ23" si="152">IF(CI9&gt;0,$G9*$I9*(($H$24+$L$24+$Q$24+$W$24+$AC$24+$AI$24+$AO$24+$AU$24+$BA$24+$BG$24+$BM$24+$BS$24+$BY$24+$CE$24)/$G$24)*CI9,0)</f>
        <v>459044.62580491399</v>
      </c>
      <c r="CK9" s="118">
        <f t="shared" ref="CK9:CK23" si="153">IF((CF$24-CJ$24)&gt;0,CJ9,CF$24*CJ9/CJ$24)</f>
        <v>0</v>
      </c>
      <c r="CL9" s="72" t="s">
        <v>8</v>
      </c>
      <c r="CM9" s="45" t="s">
        <v>8</v>
      </c>
      <c r="CN9" s="49">
        <f t="shared" ref="CN9:CN23" si="154">(((H9+L9+Q9+W9+AC9+AI9+AO9+AU9+BA9+BG9+BM9+BS9+BY9+CE9+CK9)/G9)/$J$24)/I9</f>
        <v>0.53416048983991404</v>
      </c>
      <c r="CO9" s="48">
        <f t="shared" ref="CO9:CO23" si="155">CM$24-CN9</f>
        <v>2.9767992133960308E-2</v>
      </c>
      <c r="CP9" s="50">
        <f t="shared" ref="CP9:CP23" si="156">IF(CO9&gt;0,$G9*$I9*(($H$24+$L$24+$Q$24+$W$24+$AC$24+$AI$24+$AO$24+$AU$24+$BA$24+$BG$24+$BM$24+$BS$24+$BY$24+$CE$24+$CK$24)/$G$24)*CO9,0)</f>
        <v>459044.62580491399</v>
      </c>
      <c r="CQ9" s="118">
        <f t="shared" ref="CQ9:CQ23" si="157">IF((CL$24-CP$24)&gt;0,CP9,CL$24*CP9/CP$24)</f>
        <v>0</v>
      </c>
      <c r="CR9" s="72" t="s">
        <v>8</v>
      </c>
      <c r="CS9" s="45" t="s">
        <v>8</v>
      </c>
      <c r="CT9" s="49">
        <f t="shared" ref="CT9:CT23" si="158">(((H9+L9+Q9+W9+AC9+AI9+AO9+AU9+BA9+BG9+BM9+BS9+BY9+CE9+CK9+CQ9)/G9)/$J$24)/I9</f>
        <v>0.53416048983991404</v>
      </c>
      <c r="CU9" s="48">
        <f t="shared" ref="CU9:CU23" si="159">CS$24-CT9</f>
        <v>2.9767992133960308E-2</v>
      </c>
      <c r="CV9" s="50">
        <f t="shared" ref="CV9:CV23" si="160">IF(CU9&gt;0,$G9*$I9*(($H$24+$L$24+$Q$24+$W$24+$AC$24+$AI$24+$AO$24+$AU$24+$BA$24+$BG$24+$BM$24+$BS$24+$BY$24+$CE$24+$CK$24+$CQ$24)/$G$24)*CU9,0)</f>
        <v>459044.62580491399</v>
      </c>
      <c r="CW9" s="118">
        <f t="shared" ref="CW9:CW23" si="161">IF((CR$24-CV$24)&gt;0,CV9,CR$24*CV9/CV$24)</f>
        <v>0</v>
      </c>
      <c r="CX9" s="72" t="s">
        <v>8</v>
      </c>
      <c r="CY9" s="45" t="s">
        <v>8</v>
      </c>
      <c r="CZ9" s="49">
        <f t="shared" ref="CZ9:CZ23" si="162">(((H9+L9+Q9+W9+AC9+AI9+AO9+AU9+BA9+BG9+BM9+BS9+BY9+CE9+CK9+CQ9+CW9)/G9)/$J$24)/I9</f>
        <v>0.53416048983991404</v>
      </c>
      <c r="DA9" s="48">
        <f t="shared" ref="DA9:DA23" si="163">CY$24-CZ9</f>
        <v>2.9767992133960308E-2</v>
      </c>
      <c r="DB9" s="50">
        <f t="shared" ref="DB9:DB23" si="164">IF(DA9&gt;0,$G9*$I9*(($H$24+$L$24+$Q$24+$W$24+$AC$24+$AI$24+$AO$24+$AU$24+$BA$24+$BG$24+$BM$24+$BS$24+$BY$24+$CE$24+$CK$24+$CQ$24+$CW$24)/$G$24)*DA9,0)</f>
        <v>459044.62580491399</v>
      </c>
      <c r="DC9" s="118">
        <f t="shared" ref="DC9:DC23" si="165">IF((CX$24-DB$24)&gt;0,DB9,CX$24*DB9/DB$24)</f>
        <v>0</v>
      </c>
      <c r="DD9" s="72" t="s">
        <v>8</v>
      </c>
      <c r="DE9" s="45" t="s">
        <v>8</v>
      </c>
      <c r="DF9" s="49">
        <f t="shared" ref="DF9:DF23" si="166">(((H9+L9+Q9+W9+AC9+AI9+AO9+AU9+BA9+BG9+BM9+BS9+BY9+CE9+CK9+CQ9+CW9+DC9)/G9)/$J$24)/I9</f>
        <v>0.53416048983991404</v>
      </c>
      <c r="DG9" s="48">
        <f t="shared" ref="DG9:DG23" si="167">DE$24-DF9</f>
        <v>2.9767992133960308E-2</v>
      </c>
      <c r="DH9" s="50">
        <f t="shared" ref="DH9:DH23" si="168">IF(DG9&gt;0,$G9*$I9*(($H$24+$L$24+$Q$24+$W$24+$AC$24+$AI$24+$AO$24+$AU$24+$BA$24+$BG$24+$BM$24+$BS$24+$BY$24+$CE$24+$CK$24+$CQ$24+$CW$24+$DC$24)/$G$24)*DG9,0)</f>
        <v>459044.62580491399</v>
      </c>
      <c r="DI9" s="118">
        <f t="shared" ref="DI9:DI23" si="169">IF((DD$24-DH$24)&gt;0,DH9,DD$24*DH9/DH$24)</f>
        <v>0</v>
      </c>
      <c r="DJ9" s="72" t="s">
        <v>8</v>
      </c>
      <c r="DK9" s="45" t="s">
        <v>8</v>
      </c>
      <c r="DL9" s="49">
        <f t="shared" ref="DL9:DL23" si="170">(((H9+L9+Q9+W9+AC9+AI9+AO9+AU9+BA9+BG9+BM9+BS9+BY9+CE9+CK9+CQ9+CW9+DC9+DI9)/G9)/$J$24)/I9</f>
        <v>0.53416048983991404</v>
      </c>
      <c r="DM9" s="48">
        <f t="shared" ref="DM9:DM23" si="171">DK$24-DL9</f>
        <v>2.9767992133960308E-2</v>
      </c>
      <c r="DN9" s="50">
        <f t="shared" ref="DN9:DN23" si="172">IF(DM9&gt;0,$G9*$I9*(($H$24+$L$24+$Q$24+$W$24+$AC$24+$AI$24+$AO$24+$AU$24+$BA$24+$BG$24+$BM$24+$BS$24+$BY$24+$CE$24+$CK$24+$CQ$24+$CW$24+$DC$24+$DI$24)/$G$24)*DM9,0)</f>
        <v>459044.62580491399</v>
      </c>
      <c r="DO9" s="118">
        <f t="shared" ref="DO9:DO23" si="173">IF((DJ$24-DN$24)&gt;0,DN9,DJ$24*DN9/DN$24)</f>
        <v>0</v>
      </c>
      <c r="DP9" s="72" t="s">
        <v>8</v>
      </c>
      <c r="DQ9" s="45" t="s">
        <v>8</v>
      </c>
      <c r="DR9" s="49">
        <f t="shared" ref="DR9:DR23" si="174">(((H9+L9+Q9+W9+AC9+AI9+AO9+AU9+BA9+BG9+BM9+BS9+BY9+CE9+CK9+CQ9+CW9+DC9+DI9+DO9)/G9)/$J$24)/I9</f>
        <v>0.53416048983991404</v>
      </c>
      <c r="DS9" s="48">
        <f t="shared" ref="DS9:DS23" si="175">DQ$24-DR9</f>
        <v>2.9767992133960308E-2</v>
      </c>
      <c r="DT9" s="50">
        <f t="shared" ref="DT9:DT23" si="176">IF(DS9&gt;0,$G9*$I9*(($H$24+$L$24+$Q$24+$W$24+$AC$24+$AI$24+$AO$24+$AU$24+$BA$24+$BG$24+$BM$24+$BS$24+$BY$24+$CE$24+$CK$24+$CQ$24+$CW$24+$DC$24+$DI$24+$DO$24)/$G$24)*DS9,0)</f>
        <v>459044.62580491399</v>
      </c>
      <c r="DU9" s="118">
        <f t="shared" ref="DU9:DU23" si="177">IF((DP$24-DT$24)&gt;0,DT9,DP$24*DT9/DT$24)</f>
        <v>0</v>
      </c>
      <c r="DV9" s="162" t="s">
        <v>8</v>
      </c>
      <c r="DW9" s="152" t="s">
        <v>8</v>
      </c>
      <c r="DX9" s="166">
        <f t="shared" ref="DX9:DX23" si="178">((($H9+$L9+$Q9+$W9+$AC9+$AI9+$AO9+$AU9+$BA9+$BG9+$BM9+$BS9+$BY9+$CE9+$CK9+$CQ9+$CW9+$DC9+$DI9+$DO9+$DU9)/$G9)/$J$24)/$I9</f>
        <v>0.53416048983991404</v>
      </c>
      <c r="DY9" s="153">
        <f t="shared" ref="DY9:DY23" si="179">DW$24-DX9</f>
        <v>2.9767992133960308E-2</v>
      </c>
      <c r="DZ9" s="31">
        <f t="shared" ref="DZ9:DZ23" si="180">IF(DY9&gt;0,$G9*$I9*(($H$24+$L$24+$Q$24+$W$24+$AC$24+$AI$24+$AO$24+$AU$24+$BA$24+$BG$24+$BM$24+$BS$24+$BY$24+$CE$24+$CK$24+$CQ$24+$CW$24+$DC$24+$DI$24+$DO$24+$DU$24)/$G$24)*DY9,0)</f>
        <v>459044.62580491399</v>
      </c>
      <c r="EA9" s="154">
        <f t="shared" ref="EA9:EA23" si="181">IF((DV$24-DZ$24)&gt;0,DZ9,DV$24*DZ9/DZ$24)</f>
        <v>0</v>
      </c>
      <c r="EB9" s="162" t="s">
        <v>8</v>
      </c>
      <c r="EC9" s="152" t="s">
        <v>8</v>
      </c>
      <c r="ED9" s="166">
        <f t="shared" ref="ED9:ED23" si="182">((($H9+$L9+$Q9+$W9+$AC9+$AI9+$AO9+$AU9+$BA9+$BG9+$BM9+$BS9+$BY9+$CE9+$CK9+$CQ9+$CW9+$DC9+$DI9+$DO9+$DU9+$EA9)/$G9)/$J$24)/$I9</f>
        <v>0.53416048983991404</v>
      </c>
      <c r="EE9" s="153">
        <f t="shared" ref="EE9:EE23" si="183">EC$24-ED9</f>
        <v>2.9767992133960308E-2</v>
      </c>
      <c r="EF9" s="31">
        <f t="shared" ref="EF9:EF23" si="184">IF(EE9&gt;0,$G9*$I9*(($H$24+$L$24+$Q$24+$W$24+$AC$24+$AI$24+$AO$24+$AU$24+$BA$24+$BG$24+$BM$24+$BS$24+$BY$24+$CE$24+$CK$24+$CQ$24+$CW$24+$DC$24+$DI$24+$DO$24+$DU$24+$EA$24)/$G$24)*EE9,0)</f>
        <v>459044.62580491399</v>
      </c>
      <c r="EG9" s="154">
        <f t="shared" ref="EG9:EG23" si="185">IF((EB$24-EF$24)&gt;0,EF9,EB$24*EF9/EF$24)</f>
        <v>0</v>
      </c>
      <c r="EH9" s="162" t="s">
        <v>8</v>
      </c>
      <c r="EI9" s="152" t="s">
        <v>8</v>
      </c>
      <c r="EJ9" s="166">
        <f t="shared" ref="EJ9:EJ23" si="186">((($H9+$L9+$Q9+$W9+$AC9+$AI9+$AO9+$AU9+$BA9+$BG9+$BM9+$BS9+$BY9+$CE9+$CK9+$CQ9+$CW9+$DC9+$DI9+$DO9+$DU9+$EA9+$EG9)/$G9)/$J$24)/$I9</f>
        <v>0.53416048983991404</v>
      </c>
      <c r="EK9" s="153">
        <f t="shared" ref="EK9:EK23" si="187">EI$24-EJ9</f>
        <v>2.9767992133960308E-2</v>
      </c>
      <c r="EL9" s="31">
        <f t="shared" ref="EL9:EL23" si="188">IF(EK9&gt;0,$G9*$I9*(($H$24+$L$24+$Q$24+$W$24+$AC$24+$AI$24+$AO$24+$AU$24+$BA$24+$BG$24+$BM$24+$BS$24+$BY$24+$CE$24+$CK$24+$CQ$24+$CW$24+$DC$24+$DI$24+$DO$24+$DU$24+$EA$24+$EG$24)/$G$24)*EK9,0)</f>
        <v>459044.62580491399</v>
      </c>
      <c r="EM9" s="154">
        <f t="shared" ref="EM9:EM23" si="189">IF((EH$24-EL$24)&gt;0,EL9,EH$24*EL9/EL$24)</f>
        <v>0</v>
      </c>
      <c r="EN9" s="72" t="s">
        <v>8</v>
      </c>
      <c r="EO9" s="45" t="s">
        <v>8</v>
      </c>
      <c r="EP9" s="167">
        <f t="shared" ref="EP9:EP23" si="190">((($H9+$L9+$Q9+$W9+$AC9+$AI9+$AO9+$AU9+$BA9+$BG9+$BM9+$BS9+$BY9+$CE9+$CK9+$CQ9+$CW9+$DC9+$DI9+$DO9+$DU9+$EA9+$EG9+$EM9)/$G9)/$J$24)/$I9</f>
        <v>0.53416048983991404</v>
      </c>
      <c r="EQ9" s="48">
        <f t="shared" ref="EQ9:EQ23" si="191">EO$24-EP9</f>
        <v>2.9767992133960308E-2</v>
      </c>
      <c r="ER9" s="50">
        <f t="shared" ref="ER9:ER23" si="192">IF(EQ9&gt;0,$G9*$I9*(($H$24+$L$24+$Q$24+$W$24+$AC$24+$AI$24+$AO$24+$AU$24+$BA$24+$BG$24+$BM$24+$BS$24+$BY$24+$CE$24+$CK$24+$CQ$24+$CW$24+$DC$24+$DI$24+$DO$24+$DU$24+$EA$24+$EG$24+$EM$24)/$G$24)*EQ9,0)</f>
        <v>459044.62580491399</v>
      </c>
      <c r="ES9" s="76">
        <f t="shared" ref="ES9:ES23" si="193">IF((EN$24-ER$24)&gt;0,ER9,EN$24*ER9/ER$24)</f>
        <v>0</v>
      </c>
      <c r="ET9" s="162" t="s">
        <v>8</v>
      </c>
      <c r="EU9" s="152" t="s">
        <v>8</v>
      </c>
      <c r="EV9" s="166">
        <f t="shared" ref="EV9:EV23" si="194">((($H9+$L9+$Q9+$W9+$AC9+$AI9+$AO9+$AU9+$BA9+$BG9+$BM9+$BS9+$BY9+$CE9+$CK9+$CQ9+$CW9+$DC9+$DI9+$DO9+$DU9+$EA9+$EG9+$EM9+$ES9)/$G9)/$J$24)/$I9</f>
        <v>0.53416048983991404</v>
      </c>
      <c r="EW9" s="153">
        <f t="shared" ref="EW9:EW23" si="195">EU$24-EV9</f>
        <v>2.9767992133960308E-2</v>
      </c>
      <c r="EX9" s="31">
        <f t="shared" ref="EX9:EX23" si="196">IF(EW9&gt;0,$G9*$I9*(($H$24+$L$24+$Q$24+$W$24+$AC$24+$AI$24+$AO$24+$AU$24+$BA$24+$BG$24+$BM$24+$BS$24+$BY$24+$CE$24+$CK$24+$CQ$24+$CW$24+$DC$24+$DI$24+$DO$24+$DU$24+$EA$24+$EG$24+$EM$24+$ES$24)/$G$24)*EW9,0)</f>
        <v>459044.62580491399</v>
      </c>
      <c r="EY9" s="154">
        <f t="shared" ref="EY9:EY23" si="197">IF((ET$24-EX$24)&gt;0,EX9,ET$24*EX9/EX$24)</f>
        <v>0</v>
      </c>
      <c r="EZ9" s="162" t="s">
        <v>8</v>
      </c>
      <c r="FA9" s="152" t="s">
        <v>8</v>
      </c>
      <c r="FB9" s="166">
        <f t="shared" ref="FB9:FB23" si="198">((($H9+$L9+$Q9+$W9+$AC9+$AI9+$AO9+$AU9+$BA9+$BG9+$BM9+$BS9+$BY9+$CE9+$CK9+$CQ9+$CW9+$DC9+$DI9+$DO9+$DU9+$EA9+$EG9+$EM9+$ES9+$EY9)/$G9)/$J$24)/$I9</f>
        <v>0.53416048983991404</v>
      </c>
      <c r="FC9" s="153">
        <f t="shared" ref="FC9:FC23" si="199">FA$24-FB9</f>
        <v>2.9767992133960308E-2</v>
      </c>
      <c r="FD9" s="31">
        <f t="shared" ref="FD9:FD23" si="200">IF(FC9&gt;0,$G9*$I9*(($H$24+$L$24+$Q$24+$W$24+$AC$24+$AI$24+$AO$24+$AU$24+$BA$24+$BG$24+$BM$24+$BS$24+$BY$24+$CE$24+$CK$24+$CQ$24+$CW$24+$DC$24+$DI$24+$DO$24+$DU$24+$EA$24+$EG$24+$EM$24+$ES$24+$EY$24)/$G$24)*FC9,0)</f>
        <v>459044.62580491399</v>
      </c>
      <c r="FE9" s="154">
        <f t="shared" ref="FE9:FE23" si="201">IF((EZ$24-FD$24)&gt;0,FD9,EZ$24*FD9/FD$24)</f>
        <v>0</v>
      </c>
      <c r="FF9" s="162" t="s">
        <v>8</v>
      </c>
      <c r="FG9" s="152" t="s">
        <v>8</v>
      </c>
      <c r="FH9" s="166">
        <f t="shared" ref="FH9:FH23" si="202">((($H9+$L9+$Q9+$W9+$AC9+$AI9+$AO9+$AU9+$BA9+$BG9+$BM9+$BS9+$BY9+$CE9+$CK9+$CQ9+$CW9+$DC9+$DI9+$DO9+$DU9+$EA9+$EG9+$EM9+$ES9+$EY9+$FE9)/$G9)/$J$24)/$I9</f>
        <v>0.53416048983991404</v>
      </c>
      <c r="FI9" s="153">
        <f t="shared" ref="FI9:FI23" si="203">FG$24-FH9</f>
        <v>2.9767992133960308E-2</v>
      </c>
      <c r="FJ9" s="31">
        <f t="shared" ref="FJ9:FJ23" si="204">IF(FI9&gt;0,$G9*$I9*(($H$24+$L$24+$Q$24+$W$24+$AC$24+$AI$24+$AO$24+$AU$24+$BA$24+$BG$24+$BM$24+$BS$24+$BY$24+$CE$24+$CK$24+$CQ$24+$CW$24+$DC$24+$DI$24+$DO$24+$DU$24+$EA$24+$EG$24+$EM$24+$ES$24+$EY$24+$FE$24)/$G$24)*FI9,0)</f>
        <v>459044.62580491399</v>
      </c>
      <c r="FK9" s="154">
        <f t="shared" ref="FK9:FK23" si="205">IF((FF$24-FJ$24)&gt;0,FJ9,FF$24*FJ9/FJ$24)</f>
        <v>0</v>
      </c>
      <c r="FL9" s="162" t="s">
        <v>8</v>
      </c>
      <c r="FM9" s="152" t="s">
        <v>8</v>
      </c>
      <c r="FN9" s="166">
        <f t="shared" ref="FN9:FN23" si="206">((($H9+$L9+$Q9+$W9+$AC9+$AI9+$AO9+$AU9+$BA9+$BG9+$BM9+$BS9+$BY9+$CE9+$CK9+$CQ9+$CW9+$DC9+$DI9+$DO9+$DU9+$EA9+$EG9+$EM9+$ES9+$EY9+$FE9+$FK9)/$G9)/$J$24)/$I9</f>
        <v>0.53416048983991404</v>
      </c>
      <c r="FO9" s="153">
        <f t="shared" ref="FO9:FO23" si="207">FM$24-FN9</f>
        <v>2.9767992133960308E-2</v>
      </c>
      <c r="FP9" s="31">
        <f t="shared" ref="FP9:FP23" si="208">IF(FO9&gt;0,$G9*$I9*(($H$24+$L$24+$Q$24+$W$24+$AC$24+$AI$24+$AO$24+$AU$24+$BA$24+$BG$24+$BM$24+$BS$24+$BY$24+$CE$24+$CK$24+$CQ$24+$CW$24+$DC$24+$DI$24+$DO$24+$DU$24+$EA$24+$EG$24+$EM$24+$ES$24+$EY$24+$FE$24+$FK$24)/$G$24)*FO9,0)</f>
        <v>459044.62580491399</v>
      </c>
      <c r="FQ9" s="154">
        <f t="shared" ref="FQ9:FQ23" si="209">IF((FL$24-FP$24)&gt;0,FP9,FL$24*FP9/FP$24)</f>
        <v>0</v>
      </c>
      <c r="FR9" s="162" t="s">
        <v>8</v>
      </c>
      <c r="FS9" s="152" t="s">
        <v>8</v>
      </c>
      <c r="FT9" s="166">
        <f t="shared" ref="FT9:FT23" si="210">((($H9+$L9+$Q9+$W9+$AC9+$AI9+$AO9+$AU9+$BA9+$BG9+$BM9+$BS9+$BY9+$CE9+$CK9+$CQ9+$CW9+$DC9+$DI9+$DO9+$DU9+$EA9+$EG9+$EM9+$ES9+$EY9+$FE9+$FK9+$FQ9)/$G9)/$J$24)/$I9</f>
        <v>0.53416048983991404</v>
      </c>
      <c r="FU9" s="153">
        <f t="shared" ref="FU9:FU23" si="211">FS$24-FT9</f>
        <v>2.9767992133960308E-2</v>
      </c>
      <c r="FV9" s="31">
        <f t="shared" ref="FV9:FV23" si="212">IF(FU9&gt;0,$G9*$I9*(($H$24+$L$24+$Q$24+$W$24+$AC$24+$AI$24+$AO$24+$AU$24+$BA$24+$BG$24+$BM$24+$BS$24+$BY$24+$CE$24+$CK$24+$CQ$24+$CW$24+$DC$24+$DI$24+$DO$24+$DU$24+$EA$24+$EG$24+$EM$24+$ES$24+$EY$24+$FE$24+$FK$24+$FQ$24)/$G$24)*FU9,0)</f>
        <v>459044.62580491399</v>
      </c>
      <c r="FW9" s="154">
        <f t="shared" ref="FW9:FW23" si="213">IF((FR$24-FV$24)&gt;0,FV9,FR$24*FV9/FV$24)</f>
        <v>0</v>
      </c>
      <c r="FX9" s="162" t="s">
        <v>8</v>
      </c>
      <c r="FY9" s="152" t="s">
        <v>8</v>
      </c>
      <c r="FZ9" s="166">
        <f t="shared" ref="FZ9:FZ23" si="214">((($H9+$L9+$Q9+$W9+$AC9+$AI9+$AO9+$AU9+$BA9+$BG9+$BM9+$BS9+$BY9+$CE9+$CK9+$CQ9+$CW9+$DC9+$DI9+$DO9+$DU9+$EA9+$EG9+$EM9+$ES9+$EY9+$FE9+$FK9+$FQ9+$FW9)/$G9)/$J$24)/$I9</f>
        <v>0.53416048983991404</v>
      </c>
      <c r="GA9" s="153">
        <f t="shared" ref="GA9:GA23" si="215">FY$24-FZ9</f>
        <v>2.9767992133960308E-2</v>
      </c>
      <c r="GB9" s="31">
        <f t="shared" ref="GB9:GB23" si="216">IF(GA9&gt;0,$G9*$I9*(($H$24+$L$24+$Q$24+$W$24+$AC$24+$AI$24+$AO$24+$AU$24+$BA$24+$BG$24+$BM$24+$BS$24+$BY$24+$CE$24+$CK$24+$CQ$24+$CW$24+$DC$24+$DI$24+$DO$24+$DU$24+$EA$24+$EG$24+$EM$24+$ES$24+$EY$24+$FE$24+$FK$24+$FQ$24+$FW$24)/$G$24)*GA9,0)</f>
        <v>459044.62580491399</v>
      </c>
      <c r="GC9" s="154">
        <f t="shared" ref="GC9:GC23" si="217">IF((FX$24-GB$24)&gt;0,GB9,FX$24*GB9/GB$24)</f>
        <v>0</v>
      </c>
      <c r="GD9" s="162" t="s">
        <v>8</v>
      </c>
      <c r="GE9" s="152" t="s">
        <v>8</v>
      </c>
      <c r="GF9" s="166">
        <f t="shared" ref="GF9:GF23" si="218">((($H9+$L9+$Q9+$W9+$AC9+$AI9+$AO9+$AU9+$BA9+$BG9+$BM9+$BS9+$BY9+$CE9+$CK9+$CQ9+$CW9+$DC9+$DI9+$DO9+$DU9+$EA9+$EG9+$EM9+$ES9+$EY9+$FE9+$FK9+$FQ9+$FW9+$GC9)/$G9)/$J$24)/$I9</f>
        <v>0.53416048983991404</v>
      </c>
      <c r="GG9" s="153">
        <f t="shared" ref="GG9:GG23" si="219">GE$24-GF9</f>
        <v>2.9767992133960308E-2</v>
      </c>
      <c r="GH9" s="31">
        <f t="shared" ref="GH9:GH23" si="220">IF(GG9&gt;0,$G9*$I9*(($H$24+$L$24+$Q$24+$W$24+$AC$24+$AI$24+$AO$24+$AU$24+$BA$24+$BG$24+$BM$24+$BS$24+$BY$24+$CE$24+$CK$24+$CQ$24+$CW$24+$DC$24+$DI$24+$DO$24+$DU$24+$EA$24+$EG$24+$EM$24+$ES$24+$EY$24+$FE$24+$FK$24+$FQ$24+$FW$24+$GC$24)/$G$24)*GG9,0)</f>
        <v>459044.62580491399</v>
      </c>
      <c r="GI9" s="170">
        <f t="shared" ref="GI9:GI23" si="221">IF((GD$24-GH$24)&gt;0,GH9,GD$24*GH9/GH$24)</f>
        <v>0</v>
      </c>
      <c r="GJ9" s="168">
        <f>Q9+W9+AC9+AI9+AO9+AU9+BA9+BG9+BM9+BS9+BY9+CE9+CK9+CQ9+CW9+DC9+DI9+DO9+DU9+EA9+EG9+EM9+ES9+EY9+FE9+FK9+FQ9+FW9+GC9+GI9</f>
        <v>2401452.7757406742</v>
      </c>
      <c r="GK9" s="155">
        <f t="shared" ref="GK9:GK24" si="222">L9+GJ9</f>
        <v>3154940.1650066022</v>
      </c>
      <c r="GL9" s="207">
        <f t="shared" ref="GL9:GL23" si="223">K9+GK9/($H$24/$G$24)/G9/I9</f>
        <v>0.53416048983991393</v>
      </c>
      <c r="GM9" s="219">
        <v>3154940.17</v>
      </c>
      <c r="GN9" s="216"/>
    </row>
    <row r="10" spans="1:196" s="22" customFormat="1" ht="18.75" x14ac:dyDescent="0.25">
      <c r="A10" s="190" t="s">
        <v>178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01">
        <v>1284</v>
      </c>
      <c r="H10" s="28">
        <f>'Исходные данные'!D12</f>
        <v>1256035</v>
      </c>
      <c r="I10" s="29">
        <f>'Расчет КРП'!H10</f>
        <v>4.2668377980177992</v>
      </c>
      <c r="J10" s="108" t="s">
        <v>8</v>
      </c>
      <c r="K10" s="112">
        <f t="shared" si="104"/>
        <v>0.13460915948629368</v>
      </c>
      <c r="L10" s="74">
        <f t="shared" si="105"/>
        <v>948507.65472299175</v>
      </c>
      <c r="M10" s="70">
        <f t="shared" ref="M10:M23" si="224">(((H10+L10)/G10)/$J$24)/I10</f>
        <v>0.23626064067000083</v>
      </c>
      <c r="N10" s="27" t="s">
        <v>8</v>
      </c>
      <c r="O10" s="30">
        <f>$N$24-M10</f>
        <v>7.0305651084859228E-2</v>
      </c>
      <c r="P10" s="31">
        <f t="shared" si="106"/>
        <v>940556.4193690333</v>
      </c>
      <c r="Q10" s="77">
        <f t="shared" si="107"/>
        <v>940556.4193690333</v>
      </c>
      <c r="R10" s="149" t="s">
        <v>8</v>
      </c>
      <c r="S10" s="27" t="s">
        <v>8</v>
      </c>
      <c r="T10" s="32">
        <f t="shared" ref="T10:T23" si="225">(((H10+L10+Q10)/G10)/$J$24)/I10</f>
        <v>0.33705998866643688</v>
      </c>
      <c r="U10" s="30">
        <f t="shared" si="108"/>
        <v>5.7813245281938985E-2</v>
      </c>
      <c r="V10" s="50">
        <f t="shared" si="109"/>
        <v>884005.70402575028</v>
      </c>
      <c r="W10" s="77">
        <f t="shared" si="110"/>
        <v>884005.70402575028</v>
      </c>
      <c r="X10" s="73" t="s">
        <v>8</v>
      </c>
      <c r="Y10" s="27" t="s">
        <v>8</v>
      </c>
      <c r="Z10" s="32">
        <f t="shared" ref="Z10:Z23" si="226">(((H10+L10+Q10+W10)/G10)/$J$24)/I10</f>
        <v>0.43179880151798594</v>
      </c>
      <c r="AA10" s="30">
        <f t="shared" si="111"/>
        <v>4.1393271157383171E-2</v>
      </c>
      <c r="AB10" s="50">
        <f t="shared" si="112"/>
        <v>705137.86900674447</v>
      </c>
      <c r="AC10" s="77">
        <f t="shared" si="113"/>
        <v>705137.86900674447</v>
      </c>
      <c r="AD10" s="73" t="s">
        <v>8</v>
      </c>
      <c r="AE10" s="27" t="s">
        <v>8</v>
      </c>
      <c r="AF10" s="32">
        <f t="shared" si="114"/>
        <v>0.50736836436373001</v>
      </c>
      <c r="AG10" s="30">
        <f t="shared" si="115"/>
        <v>3.5204365451807162E-2</v>
      </c>
      <c r="AH10" s="50">
        <f t="shared" si="116"/>
        <v>651049.64603415737</v>
      </c>
      <c r="AI10" s="77">
        <f t="shared" si="117"/>
        <v>239175.07037087722</v>
      </c>
      <c r="AJ10" s="73" t="s">
        <v>8</v>
      </c>
      <c r="AK10" s="27" t="s">
        <v>8</v>
      </c>
      <c r="AL10" s="32">
        <f t="shared" si="118"/>
        <v>0.5330007354303794</v>
      </c>
      <c r="AM10" s="30">
        <f t="shared" si="119"/>
        <v>3.0927746543494949E-2</v>
      </c>
      <c r="AN10" s="50">
        <f t="shared" si="120"/>
        <v>586606.47611922491</v>
      </c>
      <c r="AO10" s="77">
        <f t="shared" si="121"/>
        <v>0</v>
      </c>
      <c r="AP10" s="73" t="s">
        <v>8</v>
      </c>
      <c r="AQ10" s="27" t="s">
        <v>8</v>
      </c>
      <c r="AR10" s="32">
        <f t="shared" si="122"/>
        <v>0.5330007354303794</v>
      </c>
      <c r="AS10" s="30">
        <f t="shared" si="123"/>
        <v>3.0927746543494949E-2</v>
      </c>
      <c r="AT10" s="50">
        <f t="shared" si="124"/>
        <v>586606.47611922491</v>
      </c>
      <c r="AU10" s="77">
        <f t="shared" si="125"/>
        <v>0</v>
      </c>
      <c r="AV10" s="73" t="s">
        <v>8</v>
      </c>
      <c r="AW10" s="27" t="s">
        <v>8</v>
      </c>
      <c r="AX10" s="32">
        <f t="shared" si="126"/>
        <v>0.5330007354303794</v>
      </c>
      <c r="AY10" s="30">
        <f t="shared" si="127"/>
        <v>3.0927746543494949E-2</v>
      </c>
      <c r="AZ10" s="50">
        <f t="shared" si="128"/>
        <v>586606.47611922491</v>
      </c>
      <c r="BA10" s="77">
        <f t="shared" si="129"/>
        <v>0</v>
      </c>
      <c r="BB10" s="73" t="s">
        <v>8</v>
      </c>
      <c r="BC10" s="27" t="s">
        <v>8</v>
      </c>
      <c r="BD10" s="32">
        <f t="shared" si="130"/>
        <v>0.5330007354303794</v>
      </c>
      <c r="BE10" s="30">
        <f t="shared" si="131"/>
        <v>3.0927746543494949E-2</v>
      </c>
      <c r="BF10" s="50">
        <f t="shared" si="132"/>
        <v>586606.47611922491</v>
      </c>
      <c r="BG10" s="77">
        <f t="shared" si="133"/>
        <v>0</v>
      </c>
      <c r="BH10" s="73" t="s">
        <v>8</v>
      </c>
      <c r="BI10" s="27" t="s">
        <v>8</v>
      </c>
      <c r="BJ10" s="32">
        <f t="shared" si="134"/>
        <v>0.5330007354303794</v>
      </c>
      <c r="BK10" s="30">
        <f t="shared" si="135"/>
        <v>3.0927746543494949E-2</v>
      </c>
      <c r="BL10" s="50">
        <f t="shared" si="136"/>
        <v>586606.47611922491</v>
      </c>
      <c r="BM10" s="77">
        <f t="shared" si="137"/>
        <v>0</v>
      </c>
      <c r="BN10" s="73" t="s">
        <v>8</v>
      </c>
      <c r="BO10" s="27" t="s">
        <v>8</v>
      </c>
      <c r="BP10" s="32">
        <f t="shared" si="138"/>
        <v>0.5330007354303794</v>
      </c>
      <c r="BQ10" s="30">
        <f t="shared" si="139"/>
        <v>3.0927746543494949E-2</v>
      </c>
      <c r="BR10" s="50">
        <f t="shared" si="140"/>
        <v>586606.47611922491</v>
      </c>
      <c r="BS10" s="119">
        <f t="shared" si="141"/>
        <v>0</v>
      </c>
      <c r="BT10" s="73" t="s">
        <v>8</v>
      </c>
      <c r="BU10" s="27" t="s">
        <v>8</v>
      </c>
      <c r="BV10" s="32">
        <f t="shared" si="142"/>
        <v>0.5330007354303794</v>
      </c>
      <c r="BW10" s="30">
        <f t="shared" si="143"/>
        <v>3.0927746543494949E-2</v>
      </c>
      <c r="BX10" s="50">
        <f t="shared" si="144"/>
        <v>586606.47611922491</v>
      </c>
      <c r="BY10" s="119">
        <f t="shared" si="145"/>
        <v>0</v>
      </c>
      <c r="BZ10" s="73" t="s">
        <v>8</v>
      </c>
      <c r="CA10" s="27" t="s">
        <v>8</v>
      </c>
      <c r="CB10" s="32">
        <f t="shared" si="146"/>
        <v>0.5330007354303794</v>
      </c>
      <c r="CC10" s="30">
        <f t="shared" si="147"/>
        <v>3.0927746543494949E-2</v>
      </c>
      <c r="CD10" s="50">
        <f t="shared" si="148"/>
        <v>586606.47611922491</v>
      </c>
      <c r="CE10" s="119">
        <f t="shared" si="149"/>
        <v>0</v>
      </c>
      <c r="CF10" s="73" t="s">
        <v>8</v>
      </c>
      <c r="CG10" s="27" t="s">
        <v>8</v>
      </c>
      <c r="CH10" s="32">
        <f t="shared" si="150"/>
        <v>0.5330007354303794</v>
      </c>
      <c r="CI10" s="30">
        <f t="shared" si="151"/>
        <v>3.0927746543494949E-2</v>
      </c>
      <c r="CJ10" s="50">
        <f t="shared" si="152"/>
        <v>586606.47611922491</v>
      </c>
      <c r="CK10" s="119">
        <f t="shared" si="153"/>
        <v>0</v>
      </c>
      <c r="CL10" s="73" t="s">
        <v>8</v>
      </c>
      <c r="CM10" s="27" t="s">
        <v>8</v>
      </c>
      <c r="CN10" s="32">
        <f t="shared" si="154"/>
        <v>0.5330007354303794</v>
      </c>
      <c r="CO10" s="30">
        <f t="shared" si="155"/>
        <v>3.0927746543494949E-2</v>
      </c>
      <c r="CP10" s="50">
        <f t="shared" si="156"/>
        <v>586606.47611922491</v>
      </c>
      <c r="CQ10" s="119">
        <f t="shared" si="157"/>
        <v>0</v>
      </c>
      <c r="CR10" s="73" t="s">
        <v>8</v>
      </c>
      <c r="CS10" s="27" t="s">
        <v>8</v>
      </c>
      <c r="CT10" s="32">
        <f t="shared" si="158"/>
        <v>0.5330007354303794</v>
      </c>
      <c r="CU10" s="30">
        <f t="shared" si="159"/>
        <v>3.0927746543494949E-2</v>
      </c>
      <c r="CV10" s="50">
        <f t="shared" si="160"/>
        <v>586606.47611922491</v>
      </c>
      <c r="CW10" s="119">
        <f t="shared" si="161"/>
        <v>0</v>
      </c>
      <c r="CX10" s="73" t="s">
        <v>8</v>
      </c>
      <c r="CY10" s="27" t="s">
        <v>8</v>
      </c>
      <c r="CZ10" s="32">
        <f t="shared" si="162"/>
        <v>0.5330007354303794</v>
      </c>
      <c r="DA10" s="30">
        <f t="shared" si="163"/>
        <v>3.0927746543494949E-2</v>
      </c>
      <c r="DB10" s="50">
        <f t="shared" si="164"/>
        <v>586606.47611922491</v>
      </c>
      <c r="DC10" s="119">
        <f t="shared" si="165"/>
        <v>0</v>
      </c>
      <c r="DD10" s="73" t="s">
        <v>8</v>
      </c>
      <c r="DE10" s="27" t="s">
        <v>8</v>
      </c>
      <c r="DF10" s="32">
        <f t="shared" si="166"/>
        <v>0.5330007354303794</v>
      </c>
      <c r="DG10" s="30">
        <f t="shared" si="167"/>
        <v>3.0927746543494949E-2</v>
      </c>
      <c r="DH10" s="50">
        <f t="shared" si="168"/>
        <v>586606.47611922491</v>
      </c>
      <c r="DI10" s="119">
        <f t="shared" si="169"/>
        <v>0</v>
      </c>
      <c r="DJ10" s="73" t="s">
        <v>8</v>
      </c>
      <c r="DK10" s="27" t="s">
        <v>8</v>
      </c>
      <c r="DL10" s="32">
        <f t="shared" si="170"/>
        <v>0.5330007354303794</v>
      </c>
      <c r="DM10" s="30">
        <f t="shared" si="171"/>
        <v>3.0927746543494949E-2</v>
      </c>
      <c r="DN10" s="50">
        <f t="shared" si="172"/>
        <v>586606.47611922491</v>
      </c>
      <c r="DO10" s="119">
        <f t="shared" si="173"/>
        <v>0</v>
      </c>
      <c r="DP10" s="73" t="s">
        <v>8</v>
      </c>
      <c r="DQ10" s="27" t="s">
        <v>8</v>
      </c>
      <c r="DR10" s="32">
        <f t="shared" si="174"/>
        <v>0.5330007354303794</v>
      </c>
      <c r="DS10" s="30">
        <f t="shared" si="175"/>
        <v>3.0927746543494949E-2</v>
      </c>
      <c r="DT10" s="50">
        <f t="shared" si="176"/>
        <v>586606.47611922491</v>
      </c>
      <c r="DU10" s="119">
        <f t="shared" si="177"/>
        <v>0</v>
      </c>
      <c r="DV10" s="73" t="s">
        <v>8</v>
      </c>
      <c r="DW10" s="27" t="s">
        <v>8</v>
      </c>
      <c r="DX10" s="32">
        <f t="shared" si="178"/>
        <v>0.5330007354303794</v>
      </c>
      <c r="DY10" s="30">
        <f t="shared" si="179"/>
        <v>3.0927746543494949E-2</v>
      </c>
      <c r="DZ10" s="31">
        <f t="shared" si="180"/>
        <v>586606.47611922491</v>
      </c>
      <c r="EA10" s="77">
        <f t="shared" si="181"/>
        <v>0</v>
      </c>
      <c r="EB10" s="73" t="s">
        <v>8</v>
      </c>
      <c r="EC10" s="27" t="s">
        <v>8</v>
      </c>
      <c r="ED10" s="32">
        <f t="shared" si="182"/>
        <v>0.5330007354303794</v>
      </c>
      <c r="EE10" s="30">
        <f t="shared" si="183"/>
        <v>3.0927746543494949E-2</v>
      </c>
      <c r="EF10" s="31">
        <f t="shared" si="184"/>
        <v>586606.47611922491</v>
      </c>
      <c r="EG10" s="77">
        <f t="shared" si="185"/>
        <v>0</v>
      </c>
      <c r="EH10" s="73" t="s">
        <v>8</v>
      </c>
      <c r="EI10" s="27" t="s">
        <v>8</v>
      </c>
      <c r="EJ10" s="32">
        <f t="shared" si="186"/>
        <v>0.5330007354303794</v>
      </c>
      <c r="EK10" s="30">
        <f t="shared" si="187"/>
        <v>3.0927746543494949E-2</v>
      </c>
      <c r="EL10" s="31">
        <f t="shared" si="188"/>
        <v>586606.47611922491</v>
      </c>
      <c r="EM10" s="77">
        <f t="shared" si="189"/>
        <v>0</v>
      </c>
      <c r="EN10" s="73" t="s">
        <v>8</v>
      </c>
      <c r="EO10" s="27" t="s">
        <v>8</v>
      </c>
      <c r="EP10" s="32">
        <f t="shared" si="190"/>
        <v>0.5330007354303794</v>
      </c>
      <c r="EQ10" s="30">
        <f t="shared" si="191"/>
        <v>3.0927746543494949E-2</v>
      </c>
      <c r="ER10" s="31">
        <f t="shared" si="192"/>
        <v>586606.47611922491</v>
      </c>
      <c r="ES10" s="77">
        <f t="shared" si="193"/>
        <v>0</v>
      </c>
      <c r="ET10" s="73" t="s">
        <v>8</v>
      </c>
      <c r="EU10" s="27" t="s">
        <v>8</v>
      </c>
      <c r="EV10" s="32">
        <f t="shared" si="194"/>
        <v>0.5330007354303794</v>
      </c>
      <c r="EW10" s="30">
        <f t="shared" si="195"/>
        <v>3.0927746543494949E-2</v>
      </c>
      <c r="EX10" s="31">
        <f t="shared" si="196"/>
        <v>586606.47611922491</v>
      </c>
      <c r="EY10" s="77">
        <f t="shared" si="197"/>
        <v>0</v>
      </c>
      <c r="EZ10" s="73" t="s">
        <v>8</v>
      </c>
      <c r="FA10" s="27" t="s">
        <v>8</v>
      </c>
      <c r="FB10" s="32">
        <f t="shared" si="198"/>
        <v>0.5330007354303794</v>
      </c>
      <c r="FC10" s="30">
        <f t="shared" si="199"/>
        <v>3.0927746543494949E-2</v>
      </c>
      <c r="FD10" s="31">
        <f t="shared" si="200"/>
        <v>586606.47611922491</v>
      </c>
      <c r="FE10" s="77">
        <f t="shared" si="201"/>
        <v>0</v>
      </c>
      <c r="FF10" s="73" t="s">
        <v>8</v>
      </c>
      <c r="FG10" s="27" t="s">
        <v>8</v>
      </c>
      <c r="FH10" s="32">
        <f t="shared" si="202"/>
        <v>0.5330007354303794</v>
      </c>
      <c r="FI10" s="30">
        <f t="shared" si="203"/>
        <v>3.0927746543494949E-2</v>
      </c>
      <c r="FJ10" s="31">
        <f t="shared" si="204"/>
        <v>586606.47611922491</v>
      </c>
      <c r="FK10" s="77">
        <f t="shared" si="205"/>
        <v>0</v>
      </c>
      <c r="FL10" s="73" t="s">
        <v>8</v>
      </c>
      <c r="FM10" s="27" t="s">
        <v>8</v>
      </c>
      <c r="FN10" s="32">
        <f t="shared" si="206"/>
        <v>0.5330007354303794</v>
      </c>
      <c r="FO10" s="30">
        <f t="shared" si="207"/>
        <v>3.0927746543494949E-2</v>
      </c>
      <c r="FP10" s="31">
        <f t="shared" si="208"/>
        <v>586606.47611922491</v>
      </c>
      <c r="FQ10" s="77">
        <f t="shared" si="209"/>
        <v>0</v>
      </c>
      <c r="FR10" s="73" t="s">
        <v>8</v>
      </c>
      <c r="FS10" s="27" t="s">
        <v>8</v>
      </c>
      <c r="FT10" s="32">
        <f t="shared" si="210"/>
        <v>0.5330007354303794</v>
      </c>
      <c r="FU10" s="30">
        <f t="shared" si="211"/>
        <v>3.0927746543494949E-2</v>
      </c>
      <c r="FV10" s="31">
        <f t="shared" si="212"/>
        <v>586606.47611922491</v>
      </c>
      <c r="FW10" s="77">
        <f t="shared" si="213"/>
        <v>0</v>
      </c>
      <c r="FX10" s="73" t="s">
        <v>8</v>
      </c>
      <c r="FY10" s="27" t="s">
        <v>8</v>
      </c>
      <c r="FZ10" s="32">
        <f t="shared" si="214"/>
        <v>0.5330007354303794</v>
      </c>
      <c r="GA10" s="30">
        <f t="shared" si="215"/>
        <v>3.0927746543494949E-2</v>
      </c>
      <c r="GB10" s="31">
        <f t="shared" si="216"/>
        <v>586606.47611922491</v>
      </c>
      <c r="GC10" s="77">
        <f t="shared" si="217"/>
        <v>0</v>
      </c>
      <c r="GD10" s="73" t="s">
        <v>8</v>
      </c>
      <c r="GE10" s="27" t="s">
        <v>8</v>
      </c>
      <c r="GF10" s="32">
        <f t="shared" si="218"/>
        <v>0.5330007354303794</v>
      </c>
      <c r="GG10" s="30">
        <f t="shared" si="219"/>
        <v>3.0927746543494949E-2</v>
      </c>
      <c r="GH10" s="31">
        <f t="shared" si="220"/>
        <v>586606.47611922491</v>
      </c>
      <c r="GI10" s="119">
        <f t="shared" si="221"/>
        <v>0</v>
      </c>
      <c r="GJ10" s="156">
        <f t="shared" ref="GJ10:GJ23" si="227">Q10+W10+AC10+AI10+AO10+AU10+BA10+BG10+BM10+BS10+BY10+CE10+CK10+CQ10+CW10+DC10+DI10+DO10+DU10+EA10+EG10+EM10+ES10+EY10+FE10+FK10+FQ10+FW10+GC10+GI10</f>
        <v>2768875.0627724053</v>
      </c>
      <c r="GK10" s="92">
        <f t="shared" si="222"/>
        <v>3717382.7174953972</v>
      </c>
      <c r="GL10" s="207">
        <f t="shared" si="223"/>
        <v>0.5330007354303794</v>
      </c>
      <c r="GM10" s="219">
        <v>3717382.72</v>
      </c>
      <c r="GN10" s="216"/>
    </row>
    <row r="11" spans="1:196" s="22" customFormat="1" ht="18.75" x14ac:dyDescent="0.25">
      <c r="A11" s="190" t="s">
        <v>179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01">
        <v>571</v>
      </c>
      <c r="H11" s="28">
        <f>'Исходные данные'!D13</f>
        <v>291061</v>
      </c>
      <c r="I11" s="29">
        <f>'Расчет КРП'!H11</f>
        <v>4.084112036408416</v>
      </c>
      <c r="J11" s="108" t="s">
        <v>8</v>
      </c>
      <c r="K11" s="112">
        <f t="shared" si="104"/>
        <v>7.3281489837278502E-2</v>
      </c>
      <c r="L11" s="74">
        <f t="shared" si="105"/>
        <v>421805.19536357344</v>
      </c>
      <c r="M11" s="70">
        <f t="shared" si="224"/>
        <v>0.17948092273054478</v>
      </c>
      <c r="N11" s="27" t="s">
        <v>8</v>
      </c>
      <c r="O11" s="30">
        <f t="shared" ref="O11:O23" si="228">$N$24-M11</f>
        <v>0.12708536902431528</v>
      </c>
      <c r="P11" s="31">
        <f t="shared" si="106"/>
        <v>723690.33039030875</v>
      </c>
      <c r="Q11" s="77">
        <f t="shared" si="107"/>
        <v>723690.33039030875</v>
      </c>
      <c r="R11" s="149" t="s">
        <v>8</v>
      </c>
      <c r="S11" s="27" t="s">
        <v>8</v>
      </c>
      <c r="T11" s="32">
        <f t="shared" si="225"/>
        <v>0.36168707742606954</v>
      </c>
      <c r="U11" s="30">
        <f t="shared" si="108"/>
        <v>3.3186156522306332E-2</v>
      </c>
      <c r="V11" s="50">
        <f t="shared" si="109"/>
        <v>215996.77851814669</v>
      </c>
      <c r="W11" s="77">
        <f t="shared" si="110"/>
        <v>215996.77851814669</v>
      </c>
      <c r="X11" s="73" t="s">
        <v>8</v>
      </c>
      <c r="Y11" s="27" t="s">
        <v>8</v>
      </c>
      <c r="Z11" s="32">
        <f t="shared" si="226"/>
        <v>0.41606937436678798</v>
      </c>
      <c r="AA11" s="30">
        <f t="shared" si="111"/>
        <v>5.7122698308581132E-2</v>
      </c>
      <c r="AB11" s="50">
        <f t="shared" si="112"/>
        <v>414205.25316808227</v>
      </c>
      <c r="AC11" s="77">
        <f t="shared" si="113"/>
        <v>414205.25316808227</v>
      </c>
      <c r="AD11" s="73" t="s">
        <v>8</v>
      </c>
      <c r="AE11" s="27" t="s">
        <v>8</v>
      </c>
      <c r="AF11" s="32">
        <f t="shared" si="114"/>
        <v>0.52035534208690226</v>
      </c>
      <c r="AG11" s="30">
        <f t="shared" si="115"/>
        <v>2.2217387728634908E-2</v>
      </c>
      <c r="AH11" s="50">
        <f t="shared" si="116"/>
        <v>174893.30256778529</v>
      </c>
      <c r="AI11" s="77">
        <f t="shared" si="117"/>
        <v>64250.273698559911</v>
      </c>
      <c r="AJ11" s="73" t="s">
        <v>8</v>
      </c>
      <c r="AK11" s="27" t="s">
        <v>8</v>
      </c>
      <c r="AL11" s="32">
        <f t="shared" si="118"/>
        <v>0.5365318678979295</v>
      </c>
      <c r="AM11" s="30">
        <f t="shared" si="119"/>
        <v>2.7396614075944847E-2</v>
      </c>
      <c r="AN11" s="50">
        <f t="shared" si="120"/>
        <v>221186.21953899902</v>
      </c>
      <c r="AO11" s="77">
        <f t="shared" si="121"/>
        <v>0</v>
      </c>
      <c r="AP11" s="73" t="s">
        <v>8</v>
      </c>
      <c r="AQ11" s="27" t="s">
        <v>8</v>
      </c>
      <c r="AR11" s="32">
        <f t="shared" si="122"/>
        <v>0.5365318678979295</v>
      </c>
      <c r="AS11" s="30">
        <f t="shared" si="123"/>
        <v>2.7396614075944847E-2</v>
      </c>
      <c r="AT11" s="50">
        <f t="shared" si="124"/>
        <v>221186.21953899902</v>
      </c>
      <c r="AU11" s="77">
        <f t="shared" si="125"/>
        <v>0</v>
      </c>
      <c r="AV11" s="73" t="s">
        <v>8</v>
      </c>
      <c r="AW11" s="27" t="s">
        <v>8</v>
      </c>
      <c r="AX11" s="32">
        <f t="shared" si="126"/>
        <v>0.5365318678979295</v>
      </c>
      <c r="AY11" s="30">
        <f t="shared" si="127"/>
        <v>2.7396614075944847E-2</v>
      </c>
      <c r="AZ11" s="50">
        <f t="shared" si="128"/>
        <v>221186.21953899902</v>
      </c>
      <c r="BA11" s="77">
        <f t="shared" si="129"/>
        <v>0</v>
      </c>
      <c r="BB11" s="73" t="s">
        <v>8</v>
      </c>
      <c r="BC11" s="27" t="s">
        <v>8</v>
      </c>
      <c r="BD11" s="32">
        <f t="shared" si="130"/>
        <v>0.5365318678979295</v>
      </c>
      <c r="BE11" s="30">
        <f t="shared" si="131"/>
        <v>2.7396614075944847E-2</v>
      </c>
      <c r="BF11" s="50">
        <f t="shared" si="132"/>
        <v>221186.21953899902</v>
      </c>
      <c r="BG11" s="77">
        <f t="shared" si="133"/>
        <v>0</v>
      </c>
      <c r="BH11" s="73" t="s">
        <v>8</v>
      </c>
      <c r="BI11" s="27" t="s">
        <v>8</v>
      </c>
      <c r="BJ11" s="32">
        <f t="shared" si="134"/>
        <v>0.5365318678979295</v>
      </c>
      <c r="BK11" s="30">
        <f t="shared" si="135"/>
        <v>2.7396614075944847E-2</v>
      </c>
      <c r="BL11" s="50">
        <f t="shared" si="136"/>
        <v>221186.21953899902</v>
      </c>
      <c r="BM11" s="77">
        <f t="shared" si="137"/>
        <v>0</v>
      </c>
      <c r="BN11" s="73" t="s">
        <v>8</v>
      </c>
      <c r="BO11" s="27" t="s">
        <v>8</v>
      </c>
      <c r="BP11" s="32">
        <f t="shared" si="138"/>
        <v>0.5365318678979295</v>
      </c>
      <c r="BQ11" s="30">
        <f t="shared" si="139"/>
        <v>2.7396614075944847E-2</v>
      </c>
      <c r="BR11" s="50">
        <f t="shared" si="140"/>
        <v>221186.21953899902</v>
      </c>
      <c r="BS11" s="119">
        <f t="shared" si="141"/>
        <v>0</v>
      </c>
      <c r="BT11" s="73" t="s">
        <v>8</v>
      </c>
      <c r="BU11" s="27" t="s">
        <v>8</v>
      </c>
      <c r="BV11" s="32">
        <f t="shared" si="142"/>
        <v>0.5365318678979295</v>
      </c>
      <c r="BW11" s="30">
        <f t="shared" si="143"/>
        <v>2.7396614075944847E-2</v>
      </c>
      <c r="BX11" s="50">
        <f t="shared" si="144"/>
        <v>221186.21953899902</v>
      </c>
      <c r="BY11" s="119">
        <f t="shared" si="145"/>
        <v>0</v>
      </c>
      <c r="BZ11" s="73" t="s">
        <v>8</v>
      </c>
      <c r="CA11" s="27" t="s">
        <v>8</v>
      </c>
      <c r="CB11" s="32">
        <f t="shared" si="146"/>
        <v>0.5365318678979295</v>
      </c>
      <c r="CC11" s="30">
        <f t="shared" si="147"/>
        <v>2.7396614075944847E-2</v>
      </c>
      <c r="CD11" s="50">
        <f t="shared" si="148"/>
        <v>221186.21953899902</v>
      </c>
      <c r="CE11" s="119">
        <f t="shared" si="149"/>
        <v>0</v>
      </c>
      <c r="CF11" s="73" t="s">
        <v>8</v>
      </c>
      <c r="CG11" s="27" t="s">
        <v>8</v>
      </c>
      <c r="CH11" s="32">
        <f t="shared" si="150"/>
        <v>0.5365318678979295</v>
      </c>
      <c r="CI11" s="30">
        <f t="shared" si="151"/>
        <v>2.7396614075944847E-2</v>
      </c>
      <c r="CJ11" s="50">
        <f t="shared" si="152"/>
        <v>221186.21953899902</v>
      </c>
      <c r="CK11" s="119">
        <f t="shared" si="153"/>
        <v>0</v>
      </c>
      <c r="CL11" s="73" t="s">
        <v>8</v>
      </c>
      <c r="CM11" s="27" t="s">
        <v>8</v>
      </c>
      <c r="CN11" s="32">
        <f t="shared" si="154"/>
        <v>0.5365318678979295</v>
      </c>
      <c r="CO11" s="30">
        <f t="shared" si="155"/>
        <v>2.7396614075944847E-2</v>
      </c>
      <c r="CP11" s="50">
        <f t="shared" si="156"/>
        <v>221186.21953899902</v>
      </c>
      <c r="CQ11" s="119">
        <f t="shared" si="157"/>
        <v>0</v>
      </c>
      <c r="CR11" s="73" t="s">
        <v>8</v>
      </c>
      <c r="CS11" s="27" t="s">
        <v>8</v>
      </c>
      <c r="CT11" s="32">
        <f t="shared" si="158"/>
        <v>0.5365318678979295</v>
      </c>
      <c r="CU11" s="30">
        <f t="shared" si="159"/>
        <v>2.7396614075944847E-2</v>
      </c>
      <c r="CV11" s="50">
        <f t="shared" si="160"/>
        <v>221186.21953899902</v>
      </c>
      <c r="CW11" s="119">
        <f t="shared" si="161"/>
        <v>0</v>
      </c>
      <c r="CX11" s="73" t="s">
        <v>8</v>
      </c>
      <c r="CY11" s="27" t="s">
        <v>8</v>
      </c>
      <c r="CZ11" s="32">
        <f t="shared" si="162"/>
        <v>0.5365318678979295</v>
      </c>
      <c r="DA11" s="30">
        <f t="shared" si="163"/>
        <v>2.7396614075944847E-2</v>
      </c>
      <c r="DB11" s="50">
        <f t="shared" si="164"/>
        <v>221186.21953899902</v>
      </c>
      <c r="DC11" s="119">
        <f t="shared" si="165"/>
        <v>0</v>
      </c>
      <c r="DD11" s="73" t="s">
        <v>8</v>
      </c>
      <c r="DE11" s="27" t="s">
        <v>8</v>
      </c>
      <c r="DF11" s="32">
        <f t="shared" si="166"/>
        <v>0.5365318678979295</v>
      </c>
      <c r="DG11" s="30">
        <f t="shared" si="167"/>
        <v>2.7396614075944847E-2</v>
      </c>
      <c r="DH11" s="50">
        <f t="shared" si="168"/>
        <v>221186.21953899902</v>
      </c>
      <c r="DI11" s="119">
        <f t="shared" si="169"/>
        <v>0</v>
      </c>
      <c r="DJ11" s="73" t="s">
        <v>8</v>
      </c>
      <c r="DK11" s="27" t="s">
        <v>8</v>
      </c>
      <c r="DL11" s="32">
        <f t="shared" si="170"/>
        <v>0.5365318678979295</v>
      </c>
      <c r="DM11" s="30">
        <f t="shared" si="171"/>
        <v>2.7396614075944847E-2</v>
      </c>
      <c r="DN11" s="50">
        <f t="shared" si="172"/>
        <v>221186.21953899902</v>
      </c>
      <c r="DO11" s="119">
        <f t="shared" si="173"/>
        <v>0</v>
      </c>
      <c r="DP11" s="73" t="s">
        <v>8</v>
      </c>
      <c r="DQ11" s="27" t="s">
        <v>8</v>
      </c>
      <c r="DR11" s="32">
        <f t="shared" si="174"/>
        <v>0.5365318678979295</v>
      </c>
      <c r="DS11" s="30">
        <f t="shared" si="175"/>
        <v>2.7396614075944847E-2</v>
      </c>
      <c r="DT11" s="50">
        <f t="shared" si="176"/>
        <v>221186.21953899902</v>
      </c>
      <c r="DU11" s="119">
        <f t="shared" si="177"/>
        <v>0</v>
      </c>
      <c r="DV11" s="73" t="s">
        <v>8</v>
      </c>
      <c r="DW11" s="27" t="s">
        <v>8</v>
      </c>
      <c r="DX11" s="32">
        <f t="shared" si="178"/>
        <v>0.5365318678979295</v>
      </c>
      <c r="DY11" s="30">
        <f t="shared" si="179"/>
        <v>2.7396614075944847E-2</v>
      </c>
      <c r="DZ11" s="31">
        <f t="shared" si="180"/>
        <v>221186.21953899902</v>
      </c>
      <c r="EA11" s="77">
        <f t="shared" si="181"/>
        <v>0</v>
      </c>
      <c r="EB11" s="73" t="s">
        <v>8</v>
      </c>
      <c r="EC11" s="27" t="s">
        <v>8</v>
      </c>
      <c r="ED11" s="32">
        <f t="shared" si="182"/>
        <v>0.5365318678979295</v>
      </c>
      <c r="EE11" s="30">
        <f t="shared" si="183"/>
        <v>2.7396614075944847E-2</v>
      </c>
      <c r="EF11" s="31">
        <f t="shared" si="184"/>
        <v>221186.21953899902</v>
      </c>
      <c r="EG11" s="77">
        <f t="shared" si="185"/>
        <v>0</v>
      </c>
      <c r="EH11" s="73" t="s">
        <v>8</v>
      </c>
      <c r="EI11" s="27" t="s">
        <v>8</v>
      </c>
      <c r="EJ11" s="32">
        <f t="shared" si="186"/>
        <v>0.5365318678979295</v>
      </c>
      <c r="EK11" s="30">
        <f t="shared" si="187"/>
        <v>2.7396614075944847E-2</v>
      </c>
      <c r="EL11" s="31">
        <f t="shared" si="188"/>
        <v>221186.21953899902</v>
      </c>
      <c r="EM11" s="77">
        <f t="shared" si="189"/>
        <v>0</v>
      </c>
      <c r="EN11" s="73" t="s">
        <v>8</v>
      </c>
      <c r="EO11" s="27" t="s">
        <v>8</v>
      </c>
      <c r="EP11" s="32">
        <f t="shared" si="190"/>
        <v>0.5365318678979295</v>
      </c>
      <c r="EQ11" s="30">
        <f t="shared" si="191"/>
        <v>2.7396614075944847E-2</v>
      </c>
      <c r="ER11" s="31">
        <f t="shared" si="192"/>
        <v>221186.21953899902</v>
      </c>
      <c r="ES11" s="77">
        <f t="shared" si="193"/>
        <v>0</v>
      </c>
      <c r="ET11" s="73" t="s">
        <v>8</v>
      </c>
      <c r="EU11" s="27" t="s">
        <v>8</v>
      </c>
      <c r="EV11" s="32">
        <f t="shared" si="194"/>
        <v>0.5365318678979295</v>
      </c>
      <c r="EW11" s="30">
        <f t="shared" si="195"/>
        <v>2.7396614075944847E-2</v>
      </c>
      <c r="EX11" s="31">
        <f t="shared" si="196"/>
        <v>221186.21953899902</v>
      </c>
      <c r="EY11" s="77">
        <f t="shared" si="197"/>
        <v>0</v>
      </c>
      <c r="EZ11" s="73" t="s">
        <v>8</v>
      </c>
      <c r="FA11" s="27" t="s">
        <v>8</v>
      </c>
      <c r="FB11" s="32">
        <f t="shared" si="198"/>
        <v>0.5365318678979295</v>
      </c>
      <c r="FC11" s="30">
        <f t="shared" si="199"/>
        <v>2.7396614075944847E-2</v>
      </c>
      <c r="FD11" s="31">
        <f t="shared" si="200"/>
        <v>221186.21953899902</v>
      </c>
      <c r="FE11" s="77">
        <f t="shared" si="201"/>
        <v>0</v>
      </c>
      <c r="FF11" s="73" t="s">
        <v>8</v>
      </c>
      <c r="FG11" s="27" t="s">
        <v>8</v>
      </c>
      <c r="FH11" s="32">
        <f t="shared" si="202"/>
        <v>0.5365318678979295</v>
      </c>
      <c r="FI11" s="30">
        <f t="shared" si="203"/>
        <v>2.7396614075944847E-2</v>
      </c>
      <c r="FJ11" s="31">
        <f t="shared" si="204"/>
        <v>221186.21953899902</v>
      </c>
      <c r="FK11" s="77">
        <f t="shared" si="205"/>
        <v>0</v>
      </c>
      <c r="FL11" s="73" t="s">
        <v>8</v>
      </c>
      <c r="FM11" s="27" t="s">
        <v>8</v>
      </c>
      <c r="FN11" s="32">
        <f t="shared" si="206"/>
        <v>0.5365318678979295</v>
      </c>
      <c r="FO11" s="30">
        <f t="shared" si="207"/>
        <v>2.7396614075944847E-2</v>
      </c>
      <c r="FP11" s="31">
        <f t="shared" si="208"/>
        <v>221186.21953899902</v>
      </c>
      <c r="FQ11" s="77">
        <f t="shared" si="209"/>
        <v>0</v>
      </c>
      <c r="FR11" s="73" t="s">
        <v>8</v>
      </c>
      <c r="FS11" s="27" t="s">
        <v>8</v>
      </c>
      <c r="FT11" s="32">
        <f t="shared" si="210"/>
        <v>0.5365318678979295</v>
      </c>
      <c r="FU11" s="30">
        <f t="shared" si="211"/>
        <v>2.7396614075944847E-2</v>
      </c>
      <c r="FV11" s="31">
        <f t="shared" si="212"/>
        <v>221186.21953899902</v>
      </c>
      <c r="FW11" s="77">
        <f t="shared" si="213"/>
        <v>0</v>
      </c>
      <c r="FX11" s="73" t="s">
        <v>8</v>
      </c>
      <c r="FY11" s="27" t="s">
        <v>8</v>
      </c>
      <c r="FZ11" s="32">
        <f t="shared" si="214"/>
        <v>0.5365318678979295</v>
      </c>
      <c r="GA11" s="30">
        <f t="shared" si="215"/>
        <v>2.7396614075944847E-2</v>
      </c>
      <c r="GB11" s="31">
        <f t="shared" si="216"/>
        <v>221186.21953899902</v>
      </c>
      <c r="GC11" s="77">
        <f t="shared" si="217"/>
        <v>0</v>
      </c>
      <c r="GD11" s="73" t="s">
        <v>8</v>
      </c>
      <c r="GE11" s="27" t="s">
        <v>8</v>
      </c>
      <c r="GF11" s="32">
        <f t="shared" si="218"/>
        <v>0.5365318678979295</v>
      </c>
      <c r="GG11" s="30">
        <f t="shared" si="219"/>
        <v>2.7396614075944847E-2</v>
      </c>
      <c r="GH11" s="31">
        <f t="shared" si="220"/>
        <v>221186.21953899902</v>
      </c>
      <c r="GI11" s="119">
        <f t="shared" si="221"/>
        <v>0</v>
      </c>
      <c r="GJ11" s="156">
        <f t="shared" si="227"/>
        <v>1418142.6357750976</v>
      </c>
      <c r="GK11" s="92">
        <f t="shared" si="222"/>
        <v>1839947.8311386711</v>
      </c>
      <c r="GL11" s="207">
        <f t="shared" si="223"/>
        <v>0.5365318678979295</v>
      </c>
      <c r="GM11" s="219">
        <v>1839947.83</v>
      </c>
      <c r="GN11" s="216"/>
    </row>
    <row r="12" spans="1:196" s="22" customFormat="1" ht="31.5" x14ac:dyDescent="0.25">
      <c r="A12" s="190" t="s">
        <v>180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01">
        <v>909</v>
      </c>
      <c r="H12" s="28">
        <f>'Исходные данные'!D14</f>
        <v>1317079</v>
      </c>
      <c r="I12" s="29">
        <f>'Расчет КРП'!H12</f>
        <v>4.3995298569451222</v>
      </c>
      <c r="J12" s="108" t="s">
        <v>8</v>
      </c>
      <c r="K12" s="112">
        <f t="shared" si="104"/>
        <v>0.19336848791041419</v>
      </c>
      <c r="L12" s="74">
        <f t="shared" si="105"/>
        <v>671490.23219875351</v>
      </c>
      <c r="M12" s="70">
        <f t="shared" si="224"/>
        <v>0.29195410870224658</v>
      </c>
      <c r="N12" s="27" t="s">
        <v>8</v>
      </c>
      <c r="O12" s="30">
        <f t="shared" si="228"/>
        <v>1.461218305261347E-2</v>
      </c>
      <c r="P12" s="31">
        <f t="shared" si="106"/>
        <v>142694.98714941685</v>
      </c>
      <c r="Q12" s="77">
        <f t="shared" si="107"/>
        <v>142694.98714941685</v>
      </c>
      <c r="R12" s="149" t="s">
        <v>8</v>
      </c>
      <c r="S12" s="27" t="s">
        <v>8</v>
      </c>
      <c r="T12" s="32">
        <f t="shared" si="225"/>
        <v>0.31290403949415718</v>
      </c>
      <c r="U12" s="30">
        <f t="shared" si="108"/>
        <v>8.1969194454218686E-2</v>
      </c>
      <c r="V12" s="50">
        <f t="shared" si="109"/>
        <v>914907.90685027768</v>
      </c>
      <c r="W12" s="77">
        <f t="shared" si="110"/>
        <v>914907.90685027768</v>
      </c>
      <c r="X12" s="73" t="s">
        <v>8</v>
      </c>
      <c r="Y12" s="27" t="s">
        <v>8</v>
      </c>
      <c r="Z12" s="32">
        <f t="shared" si="226"/>
        <v>0.4472273097952707</v>
      </c>
      <c r="AA12" s="30">
        <f t="shared" si="111"/>
        <v>2.5964762880098413E-2</v>
      </c>
      <c r="AB12" s="50">
        <f t="shared" si="112"/>
        <v>322869.96480711264</v>
      </c>
      <c r="AC12" s="77">
        <f t="shared" si="113"/>
        <v>322869.96480711264</v>
      </c>
      <c r="AD12" s="73" t="s">
        <v>8</v>
      </c>
      <c r="AE12" s="27" t="s">
        <v>8</v>
      </c>
      <c r="AF12" s="32">
        <f t="shared" si="114"/>
        <v>0.49462983985340692</v>
      </c>
      <c r="AG12" s="30">
        <f t="shared" si="115"/>
        <v>4.7942889962130253E-2</v>
      </c>
      <c r="AH12" s="50">
        <f t="shared" si="116"/>
        <v>647203.40135973948</v>
      </c>
      <c r="AI12" s="77">
        <f t="shared" si="117"/>
        <v>237762.08159763817</v>
      </c>
      <c r="AJ12" s="73" t="s">
        <v>8</v>
      </c>
      <c r="AK12" s="27" t="s">
        <v>8</v>
      </c>
      <c r="AL12" s="32">
        <f t="shared" si="118"/>
        <v>0.52953715687916458</v>
      </c>
      <c r="AM12" s="30">
        <f t="shared" si="119"/>
        <v>3.4391325094709768E-2</v>
      </c>
      <c r="AN12" s="50">
        <f t="shared" si="120"/>
        <v>476152.95106160326</v>
      </c>
      <c r="AO12" s="77">
        <f t="shared" si="121"/>
        <v>0</v>
      </c>
      <c r="AP12" s="73" t="s">
        <v>8</v>
      </c>
      <c r="AQ12" s="27" t="s">
        <v>8</v>
      </c>
      <c r="AR12" s="32">
        <f t="shared" si="122"/>
        <v>0.52953715687916458</v>
      </c>
      <c r="AS12" s="30">
        <f t="shared" si="123"/>
        <v>3.4391325094709768E-2</v>
      </c>
      <c r="AT12" s="50">
        <f t="shared" si="124"/>
        <v>476152.95106160326</v>
      </c>
      <c r="AU12" s="77">
        <f t="shared" si="125"/>
        <v>0</v>
      </c>
      <c r="AV12" s="73" t="s">
        <v>8</v>
      </c>
      <c r="AW12" s="27" t="s">
        <v>8</v>
      </c>
      <c r="AX12" s="32">
        <f t="shared" si="126"/>
        <v>0.52953715687916458</v>
      </c>
      <c r="AY12" s="30">
        <f t="shared" si="127"/>
        <v>3.4391325094709768E-2</v>
      </c>
      <c r="AZ12" s="50">
        <f t="shared" si="128"/>
        <v>476152.95106160326</v>
      </c>
      <c r="BA12" s="77">
        <f t="shared" si="129"/>
        <v>0</v>
      </c>
      <c r="BB12" s="73" t="s">
        <v>8</v>
      </c>
      <c r="BC12" s="27" t="s">
        <v>8</v>
      </c>
      <c r="BD12" s="32">
        <f t="shared" si="130"/>
        <v>0.52953715687916458</v>
      </c>
      <c r="BE12" s="30">
        <f t="shared" si="131"/>
        <v>3.4391325094709768E-2</v>
      </c>
      <c r="BF12" s="50">
        <f t="shared" si="132"/>
        <v>476152.95106160326</v>
      </c>
      <c r="BG12" s="77">
        <f t="shared" si="133"/>
        <v>0</v>
      </c>
      <c r="BH12" s="73" t="s">
        <v>8</v>
      </c>
      <c r="BI12" s="27" t="s">
        <v>8</v>
      </c>
      <c r="BJ12" s="32">
        <f t="shared" si="134"/>
        <v>0.52953715687916458</v>
      </c>
      <c r="BK12" s="30">
        <f t="shared" si="135"/>
        <v>3.4391325094709768E-2</v>
      </c>
      <c r="BL12" s="50">
        <f t="shared" si="136"/>
        <v>476152.95106160326</v>
      </c>
      <c r="BM12" s="77">
        <f t="shared" si="137"/>
        <v>0</v>
      </c>
      <c r="BN12" s="73" t="s">
        <v>8</v>
      </c>
      <c r="BO12" s="27" t="s">
        <v>8</v>
      </c>
      <c r="BP12" s="32">
        <f t="shared" si="138"/>
        <v>0.52953715687916458</v>
      </c>
      <c r="BQ12" s="30">
        <f t="shared" si="139"/>
        <v>3.4391325094709768E-2</v>
      </c>
      <c r="BR12" s="50">
        <f t="shared" si="140"/>
        <v>476152.95106160326</v>
      </c>
      <c r="BS12" s="119">
        <f t="shared" si="141"/>
        <v>0</v>
      </c>
      <c r="BT12" s="73" t="s">
        <v>8</v>
      </c>
      <c r="BU12" s="27" t="s">
        <v>8</v>
      </c>
      <c r="BV12" s="32">
        <f t="shared" si="142"/>
        <v>0.52953715687916458</v>
      </c>
      <c r="BW12" s="30">
        <f t="shared" si="143"/>
        <v>3.4391325094709768E-2</v>
      </c>
      <c r="BX12" s="50">
        <f t="shared" si="144"/>
        <v>476152.95106160326</v>
      </c>
      <c r="BY12" s="119">
        <f t="shared" si="145"/>
        <v>0</v>
      </c>
      <c r="BZ12" s="73" t="s">
        <v>8</v>
      </c>
      <c r="CA12" s="27" t="s">
        <v>8</v>
      </c>
      <c r="CB12" s="32">
        <f t="shared" si="146"/>
        <v>0.52953715687916458</v>
      </c>
      <c r="CC12" s="30">
        <f t="shared" si="147"/>
        <v>3.4391325094709768E-2</v>
      </c>
      <c r="CD12" s="50">
        <f t="shared" si="148"/>
        <v>476152.95106160326</v>
      </c>
      <c r="CE12" s="119">
        <f t="shared" si="149"/>
        <v>0</v>
      </c>
      <c r="CF12" s="73" t="s">
        <v>8</v>
      </c>
      <c r="CG12" s="27" t="s">
        <v>8</v>
      </c>
      <c r="CH12" s="32">
        <f t="shared" si="150"/>
        <v>0.52953715687916458</v>
      </c>
      <c r="CI12" s="30">
        <f t="shared" si="151"/>
        <v>3.4391325094709768E-2</v>
      </c>
      <c r="CJ12" s="50">
        <f t="shared" si="152"/>
        <v>476152.95106160326</v>
      </c>
      <c r="CK12" s="119">
        <f t="shared" si="153"/>
        <v>0</v>
      </c>
      <c r="CL12" s="73" t="s">
        <v>8</v>
      </c>
      <c r="CM12" s="27" t="s">
        <v>8</v>
      </c>
      <c r="CN12" s="32">
        <f t="shared" si="154"/>
        <v>0.52953715687916458</v>
      </c>
      <c r="CO12" s="30">
        <f t="shared" si="155"/>
        <v>3.4391325094709768E-2</v>
      </c>
      <c r="CP12" s="50">
        <f t="shared" si="156"/>
        <v>476152.95106160326</v>
      </c>
      <c r="CQ12" s="119">
        <f t="shared" si="157"/>
        <v>0</v>
      </c>
      <c r="CR12" s="73" t="s">
        <v>8</v>
      </c>
      <c r="CS12" s="27" t="s">
        <v>8</v>
      </c>
      <c r="CT12" s="32">
        <f t="shared" si="158"/>
        <v>0.52953715687916458</v>
      </c>
      <c r="CU12" s="30">
        <f t="shared" si="159"/>
        <v>3.4391325094709768E-2</v>
      </c>
      <c r="CV12" s="50">
        <f t="shared" si="160"/>
        <v>476152.95106160326</v>
      </c>
      <c r="CW12" s="119">
        <f t="shared" si="161"/>
        <v>0</v>
      </c>
      <c r="CX12" s="73" t="s">
        <v>8</v>
      </c>
      <c r="CY12" s="27" t="s">
        <v>8</v>
      </c>
      <c r="CZ12" s="32">
        <f t="shared" si="162"/>
        <v>0.52953715687916458</v>
      </c>
      <c r="DA12" s="30">
        <f t="shared" si="163"/>
        <v>3.4391325094709768E-2</v>
      </c>
      <c r="DB12" s="50">
        <f t="shared" si="164"/>
        <v>476152.95106160326</v>
      </c>
      <c r="DC12" s="119">
        <f t="shared" si="165"/>
        <v>0</v>
      </c>
      <c r="DD12" s="73" t="s">
        <v>8</v>
      </c>
      <c r="DE12" s="27" t="s">
        <v>8</v>
      </c>
      <c r="DF12" s="32">
        <f t="shared" si="166"/>
        <v>0.52953715687916458</v>
      </c>
      <c r="DG12" s="30">
        <f t="shared" si="167"/>
        <v>3.4391325094709768E-2</v>
      </c>
      <c r="DH12" s="50">
        <f t="shared" si="168"/>
        <v>476152.95106160326</v>
      </c>
      <c r="DI12" s="119">
        <f t="shared" si="169"/>
        <v>0</v>
      </c>
      <c r="DJ12" s="73" t="s">
        <v>8</v>
      </c>
      <c r="DK12" s="27" t="s">
        <v>8</v>
      </c>
      <c r="DL12" s="32">
        <f t="shared" si="170"/>
        <v>0.52953715687916458</v>
      </c>
      <c r="DM12" s="30">
        <f t="shared" si="171"/>
        <v>3.4391325094709768E-2</v>
      </c>
      <c r="DN12" s="50">
        <f t="shared" si="172"/>
        <v>476152.95106160326</v>
      </c>
      <c r="DO12" s="119">
        <f t="shared" si="173"/>
        <v>0</v>
      </c>
      <c r="DP12" s="73" t="s">
        <v>8</v>
      </c>
      <c r="DQ12" s="27" t="s">
        <v>8</v>
      </c>
      <c r="DR12" s="32">
        <f t="shared" si="174"/>
        <v>0.52953715687916458</v>
      </c>
      <c r="DS12" s="30">
        <f t="shared" si="175"/>
        <v>3.4391325094709768E-2</v>
      </c>
      <c r="DT12" s="50">
        <f t="shared" si="176"/>
        <v>476152.95106160326</v>
      </c>
      <c r="DU12" s="119">
        <f t="shared" si="177"/>
        <v>0</v>
      </c>
      <c r="DV12" s="73" t="s">
        <v>8</v>
      </c>
      <c r="DW12" s="27" t="s">
        <v>8</v>
      </c>
      <c r="DX12" s="32">
        <f t="shared" si="178"/>
        <v>0.52953715687916458</v>
      </c>
      <c r="DY12" s="30">
        <f t="shared" si="179"/>
        <v>3.4391325094709768E-2</v>
      </c>
      <c r="DZ12" s="31">
        <f t="shared" si="180"/>
        <v>476152.95106160326</v>
      </c>
      <c r="EA12" s="77">
        <f t="shared" si="181"/>
        <v>0</v>
      </c>
      <c r="EB12" s="73" t="s">
        <v>8</v>
      </c>
      <c r="EC12" s="27" t="s">
        <v>8</v>
      </c>
      <c r="ED12" s="32">
        <f t="shared" si="182"/>
        <v>0.52953715687916458</v>
      </c>
      <c r="EE12" s="30">
        <f t="shared" si="183"/>
        <v>3.4391325094709768E-2</v>
      </c>
      <c r="EF12" s="31">
        <f t="shared" si="184"/>
        <v>476152.95106160326</v>
      </c>
      <c r="EG12" s="77">
        <f t="shared" si="185"/>
        <v>0</v>
      </c>
      <c r="EH12" s="73" t="s">
        <v>8</v>
      </c>
      <c r="EI12" s="27" t="s">
        <v>8</v>
      </c>
      <c r="EJ12" s="32">
        <f t="shared" si="186"/>
        <v>0.52953715687916458</v>
      </c>
      <c r="EK12" s="30">
        <f t="shared" si="187"/>
        <v>3.4391325094709768E-2</v>
      </c>
      <c r="EL12" s="31">
        <f t="shared" si="188"/>
        <v>476152.95106160326</v>
      </c>
      <c r="EM12" s="77">
        <f t="shared" si="189"/>
        <v>0</v>
      </c>
      <c r="EN12" s="73" t="s">
        <v>8</v>
      </c>
      <c r="EO12" s="27" t="s">
        <v>8</v>
      </c>
      <c r="EP12" s="32">
        <f t="shared" si="190"/>
        <v>0.52953715687916458</v>
      </c>
      <c r="EQ12" s="30">
        <f t="shared" si="191"/>
        <v>3.4391325094709768E-2</v>
      </c>
      <c r="ER12" s="31">
        <f t="shared" si="192"/>
        <v>476152.95106160326</v>
      </c>
      <c r="ES12" s="77">
        <f t="shared" si="193"/>
        <v>0</v>
      </c>
      <c r="ET12" s="73" t="s">
        <v>8</v>
      </c>
      <c r="EU12" s="27" t="s">
        <v>8</v>
      </c>
      <c r="EV12" s="32">
        <f t="shared" si="194"/>
        <v>0.52953715687916458</v>
      </c>
      <c r="EW12" s="30">
        <f t="shared" si="195"/>
        <v>3.4391325094709768E-2</v>
      </c>
      <c r="EX12" s="31">
        <f t="shared" si="196"/>
        <v>476152.95106160326</v>
      </c>
      <c r="EY12" s="77">
        <f t="shared" si="197"/>
        <v>0</v>
      </c>
      <c r="EZ12" s="73" t="s">
        <v>8</v>
      </c>
      <c r="FA12" s="27" t="s">
        <v>8</v>
      </c>
      <c r="FB12" s="32">
        <f t="shared" si="198"/>
        <v>0.52953715687916458</v>
      </c>
      <c r="FC12" s="30">
        <f t="shared" si="199"/>
        <v>3.4391325094709768E-2</v>
      </c>
      <c r="FD12" s="31">
        <f t="shared" si="200"/>
        <v>476152.95106160326</v>
      </c>
      <c r="FE12" s="77">
        <f t="shared" si="201"/>
        <v>0</v>
      </c>
      <c r="FF12" s="73" t="s">
        <v>8</v>
      </c>
      <c r="FG12" s="27" t="s">
        <v>8</v>
      </c>
      <c r="FH12" s="32">
        <f t="shared" si="202"/>
        <v>0.52953715687916458</v>
      </c>
      <c r="FI12" s="30">
        <f t="shared" si="203"/>
        <v>3.4391325094709768E-2</v>
      </c>
      <c r="FJ12" s="31">
        <f t="shared" si="204"/>
        <v>476152.95106160326</v>
      </c>
      <c r="FK12" s="77">
        <f t="shared" si="205"/>
        <v>0</v>
      </c>
      <c r="FL12" s="73" t="s">
        <v>8</v>
      </c>
      <c r="FM12" s="27" t="s">
        <v>8</v>
      </c>
      <c r="FN12" s="32">
        <f t="shared" si="206"/>
        <v>0.52953715687916458</v>
      </c>
      <c r="FO12" s="30">
        <f t="shared" si="207"/>
        <v>3.4391325094709768E-2</v>
      </c>
      <c r="FP12" s="31">
        <f t="shared" si="208"/>
        <v>476152.95106160326</v>
      </c>
      <c r="FQ12" s="77">
        <f t="shared" si="209"/>
        <v>0</v>
      </c>
      <c r="FR12" s="73" t="s">
        <v>8</v>
      </c>
      <c r="FS12" s="27" t="s">
        <v>8</v>
      </c>
      <c r="FT12" s="32">
        <f t="shared" si="210"/>
        <v>0.52953715687916458</v>
      </c>
      <c r="FU12" s="30">
        <f t="shared" si="211"/>
        <v>3.4391325094709768E-2</v>
      </c>
      <c r="FV12" s="31">
        <f t="shared" si="212"/>
        <v>476152.95106160326</v>
      </c>
      <c r="FW12" s="77">
        <f t="shared" si="213"/>
        <v>0</v>
      </c>
      <c r="FX12" s="73" t="s">
        <v>8</v>
      </c>
      <c r="FY12" s="27" t="s">
        <v>8</v>
      </c>
      <c r="FZ12" s="32">
        <f t="shared" si="214"/>
        <v>0.52953715687916458</v>
      </c>
      <c r="GA12" s="30">
        <f t="shared" si="215"/>
        <v>3.4391325094709768E-2</v>
      </c>
      <c r="GB12" s="31">
        <f t="shared" si="216"/>
        <v>476152.95106160326</v>
      </c>
      <c r="GC12" s="77">
        <f t="shared" si="217"/>
        <v>0</v>
      </c>
      <c r="GD12" s="73" t="s">
        <v>8</v>
      </c>
      <c r="GE12" s="27" t="s">
        <v>8</v>
      </c>
      <c r="GF12" s="32">
        <f t="shared" si="218"/>
        <v>0.52953715687916458</v>
      </c>
      <c r="GG12" s="30">
        <f t="shared" si="219"/>
        <v>3.4391325094709768E-2</v>
      </c>
      <c r="GH12" s="31">
        <f t="shared" si="220"/>
        <v>476152.95106160326</v>
      </c>
      <c r="GI12" s="119">
        <f t="shared" si="221"/>
        <v>0</v>
      </c>
      <c r="GJ12" s="156">
        <f t="shared" si="227"/>
        <v>1618234.9404044454</v>
      </c>
      <c r="GK12" s="92">
        <f t="shared" si="222"/>
        <v>2289725.1726031988</v>
      </c>
      <c r="GL12" s="207">
        <f t="shared" si="223"/>
        <v>0.52953715687916447</v>
      </c>
      <c r="GM12" s="219">
        <v>2289725.17</v>
      </c>
      <c r="GN12" s="216"/>
    </row>
    <row r="13" spans="1:196" s="22" customFormat="1" ht="15.75" customHeight="1" x14ac:dyDescent="0.25">
      <c r="A13" s="190" t="s">
        <v>181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01">
        <v>232</v>
      </c>
      <c r="H13" s="28">
        <f>'Исходные данные'!D15</f>
        <v>257479</v>
      </c>
      <c r="I13" s="29">
        <f>'Расчет КРП'!H13</f>
        <v>4.6982497477399399</v>
      </c>
      <c r="J13" s="108" t="s">
        <v>8</v>
      </c>
      <c r="K13" s="112">
        <f t="shared" si="104"/>
        <v>0.13869530445102868</v>
      </c>
      <c r="L13" s="74">
        <f t="shared" si="105"/>
        <v>171381.44540166206</v>
      </c>
      <c r="M13" s="70">
        <f t="shared" si="224"/>
        <v>0.23101274294986102</v>
      </c>
      <c r="N13" s="27" t="s">
        <v>8</v>
      </c>
      <c r="O13" s="30">
        <f t="shared" si="228"/>
        <v>7.5553548804999038E-2</v>
      </c>
      <c r="P13" s="31">
        <f t="shared" si="106"/>
        <v>201095.52775885432</v>
      </c>
      <c r="Q13" s="77">
        <f t="shared" si="107"/>
        <v>201095.52775885432</v>
      </c>
      <c r="R13" s="149" t="s">
        <v>8</v>
      </c>
      <c r="S13" s="27" t="s">
        <v>8</v>
      </c>
      <c r="T13" s="32">
        <f t="shared" si="225"/>
        <v>0.3393361613500202</v>
      </c>
      <c r="U13" s="30">
        <f t="shared" si="108"/>
        <v>5.5537072598355663E-2</v>
      </c>
      <c r="V13" s="50">
        <f t="shared" si="109"/>
        <v>168952.11361798435</v>
      </c>
      <c r="W13" s="77">
        <f t="shared" si="110"/>
        <v>168952.11361798435</v>
      </c>
      <c r="X13" s="73" t="s">
        <v>8</v>
      </c>
      <c r="Y13" s="27" t="s">
        <v>8</v>
      </c>
      <c r="Z13" s="32">
        <f t="shared" si="226"/>
        <v>0.43034500026849942</v>
      </c>
      <c r="AA13" s="30">
        <f t="shared" si="111"/>
        <v>4.2847072406869691E-2</v>
      </c>
      <c r="AB13" s="50">
        <f t="shared" si="112"/>
        <v>145217.30424171683</v>
      </c>
      <c r="AC13" s="77">
        <f t="shared" si="113"/>
        <v>145217.30424171683</v>
      </c>
      <c r="AD13" s="73" t="s">
        <v>8</v>
      </c>
      <c r="AE13" s="27" t="s">
        <v>8</v>
      </c>
      <c r="AF13" s="32">
        <f t="shared" si="114"/>
        <v>0.50856869316525055</v>
      </c>
      <c r="AG13" s="30">
        <f t="shared" si="115"/>
        <v>3.4004036650286618E-2</v>
      </c>
      <c r="AH13" s="50">
        <f t="shared" si="116"/>
        <v>125112.58249991784</v>
      </c>
      <c r="AI13" s="77">
        <f t="shared" si="117"/>
        <v>45962.409942129168</v>
      </c>
      <c r="AJ13" s="73" t="s">
        <v>8</v>
      </c>
      <c r="AK13" s="27" t="s">
        <v>8</v>
      </c>
      <c r="AL13" s="32">
        <f t="shared" si="118"/>
        <v>0.53332710235678304</v>
      </c>
      <c r="AM13" s="30">
        <f t="shared" si="119"/>
        <v>3.0601379617091307E-2</v>
      </c>
      <c r="AN13" s="50">
        <f t="shared" si="120"/>
        <v>115476.20656536384</v>
      </c>
      <c r="AO13" s="77">
        <f t="shared" si="121"/>
        <v>0</v>
      </c>
      <c r="AP13" s="73" t="s">
        <v>8</v>
      </c>
      <c r="AQ13" s="27" t="s">
        <v>8</v>
      </c>
      <c r="AR13" s="32">
        <f t="shared" si="122"/>
        <v>0.53332710235678304</v>
      </c>
      <c r="AS13" s="30">
        <f t="shared" si="123"/>
        <v>3.0601379617091307E-2</v>
      </c>
      <c r="AT13" s="50">
        <f t="shared" si="124"/>
        <v>115476.20656536384</v>
      </c>
      <c r="AU13" s="77">
        <f t="shared" si="125"/>
        <v>0</v>
      </c>
      <c r="AV13" s="73" t="s">
        <v>8</v>
      </c>
      <c r="AW13" s="27" t="s">
        <v>8</v>
      </c>
      <c r="AX13" s="32">
        <f t="shared" si="126"/>
        <v>0.53332710235678304</v>
      </c>
      <c r="AY13" s="30">
        <f t="shared" si="127"/>
        <v>3.0601379617091307E-2</v>
      </c>
      <c r="AZ13" s="50">
        <f t="shared" si="128"/>
        <v>115476.20656536384</v>
      </c>
      <c r="BA13" s="77">
        <f t="shared" si="129"/>
        <v>0</v>
      </c>
      <c r="BB13" s="73" t="s">
        <v>8</v>
      </c>
      <c r="BC13" s="27" t="s">
        <v>8</v>
      </c>
      <c r="BD13" s="32">
        <f t="shared" si="130"/>
        <v>0.53332710235678304</v>
      </c>
      <c r="BE13" s="30">
        <f t="shared" si="131"/>
        <v>3.0601379617091307E-2</v>
      </c>
      <c r="BF13" s="50">
        <f t="shared" si="132"/>
        <v>115476.20656536384</v>
      </c>
      <c r="BG13" s="77">
        <f t="shared" si="133"/>
        <v>0</v>
      </c>
      <c r="BH13" s="73" t="s">
        <v>8</v>
      </c>
      <c r="BI13" s="27" t="s">
        <v>8</v>
      </c>
      <c r="BJ13" s="32">
        <f t="shared" si="134"/>
        <v>0.53332710235678304</v>
      </c>
      <c r="BK13" s="30">
        <f t="shared" si="135"/>
        <v>3.0601379617091307E-2</v>
      </c>
      <c r="BL13" s="50">
        <f t="shared" si="136"/>
        <v>115476.20656536384</v>
      </c>
      <c r="BM13" s="77">
        <f t="shared" si="137"/>
        <v>0</v>
      </c>
      <c r="BN13" s="73" t="s">
        <v>8</v>
      </c>
      <c r="BO13" s="27" t="s">
        <v>8</v>
      </c>
      <c r="BP13" s="32">
        <f t="shared" si="138"/>
        <v>0.53332710235678304</v>
      </c>
      <c r="BQ13" s="30">
        <f t="shared" si="139"/>
        <v>3.0601379617091307E-2</v>
      </c>
      <c r="BR13" s="50">
        <f t="shared" si="140"/>
        <v>115476.20656536384</v>
      </c>
      <c r="BS13" s="119">
        <f t="shared" si="141"/>
        <v>0</v>
      </c>
      <c r="BT13" s="73" t="s">
        <v>8</v>
      </c>
      <c r="BU13" s="27" t="s">
        <v>8</v>
      </c>
      <c r="BV13" s="32">
        <f t="shared" si="142"/>
        <v>0.53332710235678304</v>
      </c>
      <c r="BW13" s="30">
        <f t="shared" si="143"/>
        <v>3.0601379617091307E-2</v>
      </c>
      <c r="BX13" s="50">
        <f t="shared" si="144"/>
        <v>115476.20656536384</v>
      </c>
      <c r="BY13" s="119">
        <f t="shared" si="145"/>
        <v>0</v>
      </c>
      <c r="BZ13" s="73" t="s">
        <v>8</v>
      </c>
      <c r="CA13" s="27" t="s">
        <v>8</v>
      </c>
      <c r="CB13" s="32">
        <f t="shared" si="146"/>
        <v>0.53332710235678304</v>
      </c>
      <c r="CC13" s="30">
        <f t="shared" si="147"/>
        <v>3.0601379617091307E-2</v>
      </c>
      <c r="CD13" s="50">
        <f t="shared" si="148"/>
        <v>115476.20656536384</v>
      </c>
      <c r="CE13" s="119">
        <f t="shared" si="149"/>
        <v>0</v>
      </c>
      <c r="CF13" s="73" t="s">
        <v>8</v>
      </c>
      <c r="CG13" s="27" t="s">
        <v>8</v>
      </c>
      <c r="CH13" s="32">
        <f t="shared" si="150"/>
        <v>0.53332710235678304</v>
      </c>
      <c r="CI13" s="30">
        <f t="shared" si="151"/>
        <v>3.0601379617091307E-2</v>
      </c>
      <c r="CJ13" s="50">
        <f t="shared" si="152"/>
        <v>115476.20656536384</v>
      </c>
      <c r="CK13" s="119">
        <f t="shared" si="153"/>
        <v>0</v>
      </c>
      <c r="CL13" s="73" t="s">
        <v>8</v>
      </c>
      <c r="CM13" s="27" t="s">
        <v>8</v>
      </c>
      <c r="CN13" s="32">
        <f t="shared" si="154"/>
        <v>0.53332710235678304</v>
      </c>
      <c r="CO13" s="30">
        <f t="shared" si="155"/>
        <v>3.0601379617091307E-2</v>
      </c>
      <c r="CP13" s="50">
        <f t="shared" si="156"/>
        <v>115476.20656536384</v>
      </c>
      <c r="CQ13" s="119">
        <f t="shared" si="157"/>
        <v>0</v>
      </c>
      <c r="CR13" s="73" t="s">
        <v>8</v>
      </c>
      <c r="CS13" s="27" t="s">
        <v>8</v>
      </c>
      <c r="CT13" s="32">
        <f t="shared" si="158"/>
        <v>0.53332710235678304</v>
      </c>
      <c r="CU13" s="30">
        <f t="shared" si="159"/>
        <v>3.0601379617091307E-2</v>
      </c>
      <c r="CV13" s="50">
        <f t="shared" si="160"/>
        <v>115476.20656536384</v>
      </c>
      <c r="CW13" s="119">
        <f t="shared" si="161"/>
        <v>0</v>
      </c>
      <c r="CX13" s="73" t="s">
        <v>8</v>
      </c>
      <c r="CY13" s="27" t="s">
        <v>8</v>
      </c>
      <c r="CZ13" s="32">
        <f t="shared" si="162"/>
        <v>0.53332710235678304</v>
      </c>
      <c r="DA13" s="30">
        <f t="shared" si="163"/>
        <v>3.0601379617091307E-2</v>
      </c>
      <c r="DB13" s="50">
        <f t="shared" si="164"/>
        <v>115476.20656536384</v>
      </c>
      <c r="DC13" s="119">
        <f t="shared" si="165"/>
        <v>0</v>
      </c>
      <c r="DD13" s="73" t="s">
        <v>8</v>
      </c>
      <c r="DE13" s="27" t="s">
        <v>8</v>
      </c>
      <c r="DF13" s="32">
        <f t="shared" si="166"/>
        <v>0.53332710235678304</v>
      </c>
      <c r="DG13" s="30">
        <f t="shared" si="167"/>
        <v>3.0601379617091307E-2</v>
      </c>
      <c r="DH13" s="50">
        <f t="shared" si="168"/>
        <v>115476.20656536384</v>
      </c>
      <c r="DI13" s="119">
        <f t="shared" si="169"/>
        <v>0</v>
      </c>
      <c r="DJ13" s="73" t="s">
        <v>8</v>
      </c>
      <c r="DK13" s="27" t="s">
        <v>8</v>
      </c>
      <c r="DL13" s="32">
        <f t="shared" si="170"/>
        <v>0.53332710235678304</v>
      </c>
      <c r="DM13" s="30">
        <f t="shared" si="171"/>
        <v>3.0601379617091307E-2</v>
      </c>
      <c r="DN13" s="50">
        <f t="shared" si="172"/>
        <v>115476.20656536384</v>
      </c>
      <c r="DO13" s="119">
        <f t="shared" si="173"/>
        <v>0</v>
      </c>
      <c r="DP13" s="73" t="s">
        <v>8</v>
      </c>
      <c r="DQ13" s="27" t="s">
        <v>8</v>
      </c>
      <c r="DR13" s="32">
        <f t="shared" si="174"/>
        <v>0.53332710235678304</v>
      </c>
      <c r="DS13" s="30">
        <f t="shared" si="175"/>
        <v>3.0601379617091307E-2</v>
      </c>
      <c r="DT13" s="50">
        <f t="shared" si="176"/>
        <v>115476.20656536384</v>
      </c>
      <c r="DU13" s="119">
        <f t="shared" si="177"/>
        <v>0</v>
      </c>
      <c r="DV13" s="73" t="s">
        <v>8</v>
      </c>
      <c r="DW13" s="27" t="s">
        <v>8</v>
      </c>
      <c r="DX13" s="32">
        <f t="shared" si="178"/>
        <v>0.53332710235678304</v>
      </c>
      <c r="DY13" s="30">
        <f t="shared" si="179"/>
        <v>3.0601379617091307E-2</v>
      </c>
      <c r="DZ13" s="31">
        <f t="shared" si="180"/>
        <v>115476.20656536384</v>
      </c>
      <c r="EA13" s="77">
        <f t="shared" si="181"/>
        <v>0</v>
      </c>
      <c r="EB13" s="73" t="s">
        <v>8</v>
      </c>
      <c r="EC13" s="27" t="s">
        <v>8</v>
      </c>
      <c r="ED13" s="32">
        <f t="shared" si="182"/>
        <v>0.53332710235678304</v>
      </c>
      <c r="EE13" s="30">
        <f t="shared" si="183"/>
        <v>3.0601379617091307E-2</v>
      </c>
      <c r="EF13" s="31">
        <f t="shared" si="184"/>
        <v>115476.20656536384</v>
      </c>
      <c r="EG13" s="77">
        <f t="shared" si="185"/>
        <v>0</v>
      </c>
      <c r="EH13" s="73" t="s">
        <v>8</v>
      </c>
      <c r="EI13" s="27" t="s">
        <v>8</v>
      </c>
      <c r="EJ13" s="32">
        <f t="shared" si="186"/>
        <v>0.53332710235678304</v>
      </c>
      <c r="EK13" s="30">
        <f t="shared" si="187"/>
        <v>3.0601379617091307E-2</v>
      </c>
      <c r="EL13" s="31">
        <f t="shared" si="188"/>
        <v>115476.20656536384</v>
      </c>
      <c r="EM13" s="77">
        <f t="shared" si="189"/>
        <v>0</v>
      </c>
      <c r="EN13" s="73" t="s">
        <v>8</v>
      </c>
      <c r="EO13" s="27" t="s">
        <v>8</v>
      </c>
      <c r="EP13" s="32">
        <f t="shared" si="190"/>
        <v>0.53332710235678304</v>
      </c>
      <c r="EQ13" s="30">
        <f t="shared" si="191"/>
        <v>3.0601379617091307E-2</v>
      </c>
      <c r="ER13" s="31">
        <f t="shared" si="192"/>
        <v>115476.20656536384</v>
      </c>
      <c r="ES13" s="77">
        <f t="shared" si="193"/>
        <v>0</v>
      </c>
      <c r="ET13" s="73" t="s">
        <v>8</v>
      </c>
      <c r="EU13" s="27" t="s">
        <v>8</v>
      </c>
      <c r="EV13" s="32">
        <f t="shared" si="194"/>
        <v>0.53332710235678304</v>
      </c>
      <c r="EW13" s="30">
        <f t="shared" si="195"/>
        <v>3.0601379617091307E-2</v>
      </c>
      <c r="EX13" s="31">
        <f t="shared" si="196"/>
        <v>115476.20656536384</v>
      </c>
      <c r="EY13" s="77">
        <f t="shared" si="197"/>
        <v>0</v>
      </c>
      <c r="EZ13" s="73" t="s">
        <v>8</v>
      </c>
      <c r="FA13" s="27" t="s">
        <v>8</v>
      </c>
      <c r="FB13" s="32">
        <f t="shared" si="198"/>
        <v>0.53332710235678304</v>
      </c>
      <c r="FC13" s="30">
        <f t="shared" si="199"/>
        <v>3.0601379617091307E-2</v>
      </c>
      <c r="FD13" s="31">
        <f t="shared" si="200"/>
        <v>115476.20656536384</v>
      </c>
      <c r="FE13" s="77">
        <f t="shared" si="201"/>
        <v>0</v>
      </c>
      <c r="FF13" s="73" t="s">
        <v>8</v>
      </c>
      <c r="FG13" s="27" t="s">
        <v>8</v>
      </c>
      <c r="FH13" s="32">
        <f t="shared" si="202"/>
        <v>0.53332710235678304</v>
      </c>
      <c r="FI13" s="30">
        <f t="shared" si="203"/>
        <v>3.0601379617091307E-2</v>
      </c>
      <c r="FJ13" s="31">
        <f t="shared" si="204"/>
        <v>115476.20656536384</v>
      </c>
      <c r="FK13" s="77">
        <f t="shared" si="205"/>
        <v>0</v>
      </c>
      <c r="FL13" s="73" t="s">
        <v>8</v>
      </c>
      <c r="FM13" s="27" t="s">
        <v>8</v>
      </c>
      <c r="FN13" s="32">
        <f t="shared" si="206"/>
        <v>0.53332710235678304</v>
      </c>
      <c r="FO13" s="30">
        <f t="shared" si="207"/>
        <v>3.0601379617091307E-2</v>
      </c>
      <c r="FP13" s="31">
        <f t="shared" si="208"/>
        <v>115476.20656536384</v>
      </c>
      <c r="FQ13" s="77">
        <f t="shared" si="209"/>
        <v>0</v>
      </c>
      <c r="FR13" s="73" t="s">
        <v>8</v>
      </c>
      <c r="FS13" s="27" t="s">
        <v>8</v>
      </c>
      <c r="FT13" s="32">
        <f t="shared" si="210"/>
        <v>0.53332710235678304</v>
      </c>
      <c r="FU13" s="30">
        <f t="shared" si="211"/>
        <v>3.0601379617091307E-2</v>
      </c>
      <c r="FV13" s="31">
        <f t="shared" si="212"/>
        <v>115476.20656536384</v>
      </c>
      <c r="FW13" s="77">
        <f t="shared" si="213"/>
        <v>0</v>
      </c>
      <c r="FX13" s="73" t="s">
        <v>8</v>
      </c>
      <c r="FY13" s="27" t="s">
        <v>8</v>
      </c>
      <c r="FZ13" s="32">
        <f t="shared" si="214"/>
        <v>0.53332710235678304</v>
      </c>
      <c r="GA13" s="30">
        <f t="shared" si="215"/>
        <v>3.0601379617091307E-2</v>
      </c>
      <c r="GB13" s="31">
        <f t="shared" si="216"/>
        <v>115476.20656536384</v>
      </c>
      <c r="GC13" s="77">
        <f t="shared" si="217"/>
        <v>0</v>
      </c>
      <c r="GD13" s="73" t="s">
        <v>8</v>
      </c>
      <c r="GE13" s="27" t="s">
        <v>8</v>
      </c>
      <c r="GF13" s="32">
        <f t="shared" si="218"/>
        <v>0.53332710235678304</v>
      </c>
      <c r="GG13" s="30">
        <f t="shared" si="219"/>
        <v>3.0601379617091307E-2</v>
      </c>
      <c r="GH13" s="31">
        <f t="shared" si="220"/>
        <v>115476.20656536384</v>
      </c>
      <c r="GI13" s="119">
        <f t="shared" si="221"/>
        <v>0</v>
      </c>
      <c r="GJ13" s="156">
        <f t="shared" si="227"/>
        <v>561227.35556068469</v>
      </c>
      <c r="GK13" s="92">
        <f t="shared" si="222"/>
        <v>732608.80096234672</v>
      </c>
      <c r="GL13" s="207">
        <f>K13+GK13/($H$24/$G$24)/G13/I13</f>
        <v>0.53332710235678316</v>
      </c>
      <c r="GM13" s="219">
        <v>732608.8</v>
      </c>
      <c r="GN13" s="216"/>
    </row>
    <row r="14" spans="1:196" s="22" customFormat="1" ht="31.5" x14ac:dyDescent="0.25">
      <c r="A14" s="217" t="s">
        <v>182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01">
        <v>383</v>
      </c>
      <c r="H14" s="28">
        <f>'Исходные данные'!D16</f>
        <v>227583</v>
      </c>
      <c r="I14" s="29">
        <f>'Расчет КРП'!H14</f>
        <v>4.4497641289962022</v>
      </c>
      <c r="J14" s="108" t="s">
        <v>8</v>
      </c>
      <c r="K14" s="112">
        <f t="shared" si="104"/>
        <v>7.8405780388826535E-2</v>
      </c>
      <c r="L14" s="74">
        <f t="shared" si="105"/>
        <v>282927.12753808865</v>
      </c>
      <c r="M14" s="70">
        <f t="shared" si="224"/>
        <v>0.1758784485046036</v>
      </c>
      <c r="N14" s="27" t="s">
        <v>8</v>
      </c>
      <c r="O14" s="30">
        <f t="shared" si="228"/>
        <v>0.13068784325025645</v>
      </c>
      <c r="P14" s="31">
        <f t="shared" si="106"/>
        <v>543869.13816785743</v>
      </c>
      <c r="Q14" s="77">
        <f t="shared" si="107"/>
        <v>543869.13816785743</v>
      </c>
      <c r="R14" s="149" t="s">
        <v>8</v>
      </c>
      <c r="S14" s="27" t="s">
        <v>8</v>
      </c>
      <c r="T14" s="32">
        <f t="shared" si="225"/>
        <v>0.36324957994873336</v>
      </c>
      <c r="U14" s="30">
        <f t="shared" si="108"/>
        <v>3.1623653999642509E-2</v>
      </c>
      <c r="V14" s="50">
        <f t="shared" si="109"/>
        <v>150419.58133207785</v>
      </c>
      <c r="W14" s="77">
        <f t="shared" si="110"/>
        <v>150419.58133207785</v>
      </c>
      <c r="X14" s="73" t="s">
        <v>8</v>
      </c>
      <c r="Y14" s="27" t="s">
        <v>8</v>
      </c>
      <c r="Z14" s="32">
        <f t="shared" si="226"/>
        <v>0.4150713973081237</v>
      </c>
      <c r="AA14" s="30">
        <f t="shared" si="111"/>
        <v>5.8120675367245411E-2</v>
      </c>
      <c r="AB14" s="50">
        <f t="shared" si="112"/>
        <v>307992.08076868294</v>
      </c>
      <c r="AC14" s="77">
        <f t="shared" si="113"/>
        <v>307992.08076868294</v>
      </c>
      <c r="AD14" s="73" t="s">
        <v>8</v>
      </c>
      <c r="AE14" s="27" t="s">
        <v>8</v>
      </c>
      <c r="AF14" s="32">
        <f t="shared" si="114"/>
        <v>0.5211793203350944</v>
      </c>
      <c r="AG14" s="30">
        <f t="shared" si="115"/>
        <v>2.1393409480442771E-2</v>
      </c>
      <c r="AH14" s="50">
        <f t="shared" si="116"/>
        <v>123072.83296702536</v>
      </c>
      <c r="AI14" s="77">
        <f t="shared" si="117"/>
        <v>45213.070408592379</v>
      </c>
      <c r="AJ14" s="73" t="s">
        <v>8</v>
      </c>
      <c r="AK14" s="27" t="s">
        <v>8</v>
      </c>
      <c r="AL14" s="32">
        <f t="shared" si="118"/>
        <v>0.53675590588480893</v>
      </c>
      <c r="AM14" s="30">
        <f t="shared" si="119"/>
        <v>2.7172576089065426E-2</v>
      </c>
      <c r="AN14" s="50">
        <f t="shared" si="120"/>
        <v>160322.32282801036</v>
      </c>
      <c r="AO14" s="77">
        <f t="shared" si="121"/>
        <v>0</v>
      </c>
      <c r="AP14" s="73" t="s">
        <v>8</v>
      </c>
      <c r="AQ14" s="27" t="s">
        <v>8</v>
      </c>
      <c r="AR14" s="32">
        <f t="shared" si="122"/>
        <v>0.53675590588480893</v>
      </c>
      <c r="AS14" s="30">
        <f t="shared" si="123"/>
        <v>2.7172576089065426E-2</v>
      </c>
      <c r="AT14" s="50">
        <f t="shared" si="124"/>
        <v>160322.32282801036</v>
      </c>
      <c r="AU14" s="77">
        <f t="shared" si="125"/>
        <v>0</v>
      </c>
      <c r="AV14" s="73" t="s">
        <v>8</v>
      </c>
      <c r="AW14" s="27" t="s">
        <v>8</v>
      </c>
      <c r="AX14" s="32">
        <f t="shared" si="126"/>
        <v>0.53675590588480893</v>
      </c>
      <c r="AY14" s="30">
        <f t="shared" si="127"/>
        <v>2.7172576089065426E-2</v>
      </c>
      <c r="AZ14" s="50">
        <f t="shared" si="128"/>
        <v>160322.32282801036</v>
      </c>
      <c r="BA14" s="77">
        <f t="shared" si="129"/>
        <v>0</v>
      </c>
      <c r="BB14" s="73" t="s">
        <v>8</v>
      </c>
      <c r="BC14" s="27" t="s">
        <v>8</v>
      </c>
      <c r="BD14" s="32">
        <f t="shared" si="130"/>
        <v>0.53675590588480893</v>
      </c>
      <c r="BE14" s="30">
        <f t="shared" si="131"/>
        <v>2.7172576089065426E-2</v>
      </c>
      <c r="BF14" s="50">
        <f t="shared" si="132"/>
        <v>160322.32282801036</v>
      </c>
      <c r="BG14" s="77">
        <f t="shared" si="133"/>
        <v>0</v>
      </c>
      <c r="BH14" s="73" t="s">
        <v>8</v>
      </c>
      <c r="BI14" s="27" t="s">
        <v>8</v>
      </c>
      <c r="BJ14" s="32">
        <f t="shared" si="134"/>
        <v>0.53675590588480893</v>
      </c>
      <c r="BK14" s="30">
        <f t="shared" si="135"/>
        <v>2.7172576089065426E-2</v>
      </c>
      <c r="BL14" s="50">
        <f t="shared" si="136"/>
        <v>160322.32282801036</v>
      </c>
      <c r="BM14" s="77">
        <f t="shared" si="137"/>
        <v>0</v>
      </c>
      <c r="BN14" s="73" t="s">
        <v>8</v>
      </c>
      <c r="BO14" s="27" t="s">
        <v>8</v>
      </c>
      <c r="BP14" s="32">
        <f t="shared" si="138"/>
        <v>0.53675590588480893</v>
      </c>
      <c r="BQ14" s="30">
        <f t="shared" si="139"/>
        <v>2.7172576089065426E-2</v>
      </c>
      <c r="BR14" s="50">
        <f t="shared" si="140"/>
        <v>160322.32282801036</v>
      </c>
      <c r="BS14" s="119">
        <f t="shared" si="141"/>
        <v>0</v>
      </c>
      <c r="BT14" s="73" t="s">
        <v>8</v>
      </c>
      <c r="BU14" s="27" t="s">
        <v>8</v>
      </c>
      <c r="BV14" s="32">
        <f t="shared" si="142"/>
        <v>0.53675590588480893</v>
      </c>
      <c r="BW14" s="30">
        <f t="shared" si="143"/>
        <v>2.7172576089065426E-2</v>
      </c>
      <c r="BX14" s="50">
        <f t="shared" si="144"/>
        <v>160322.32282801036</v>
      </c>
      <c r="BY14" s="119">
        <f t="shared" si="145"/>
        <v>0</v>
      </c>
      <c r="BZ14" s="73" t="s">
        <v>8</v>
      </c>
      <c r="CA14" s="27" t="s">
        <v>8</v>
      </c>
      <c r="CB14" s="32">
        <f t="shared" si="146"/>
        <v>0.53675590588480893</v>
      </c>
      <c r="CC14" s="30">
        <f t="shared" si="147"/>
        <v>2.7172576089065426E-2</v>
      </c>
      <c r="CD14" s="50">
        <f t="shared" si="148"/>
        <v>160322.32282801036</v>
      </c>
      <c r="CE14" s="119">
        <f t="shared" si="149"/>
        <v>0</v>
      </c>
      <c r="CF14" s="73" t="s">
        <v>8</v>
      </c>
      <c r="CG14" s="27" t="s">
        <v>8</v>
      </c>
      <c r="CH14" s="32">
        <f t="shared" si="150"/>
        <v>0.53675590588480893</v>
      </c>
      <c r="CI14" s="30">
        <f t="shared" si="151"/>
        <v>2.7172576089065426E-2</v>
      </c>
      <c r="CJ14" s="50">
        <f t="shared" si="152"/>
        <v>160322.32282801036</v>
      </c>
      <c r="CK14" s="119">
        <f t="shared" si="153"/>
        <v>0</v>
      </c>
      <c r="CL14" s="73" t="s">
        <v>8</v>
      </c>
      <c r="CM14" s="27" t="s">
        <v>8</v>
      </c>
      <c r="CN14" s="32">
        <f t="shared" si="154"/>
        <v>0.53675590588480893</v>
      </c>
      <c r="CO14" s="30">
        <f t="shared" si="155"/>
        <v>2.7172576089065426E-2</v>
      </c>
      <c r="CP14" s="50">
        <f t="shared" si="156"/>
        <v>160322.32282801036</v>
      </c>
      <c r="CQ14" s="119">
        <f t="shared" si="157"/>
        <v>0</v>
      </c>
      <c r="CR14" s="73" t="s">
        <v>8</v>
      </c>
      <c r="CS14" s="27" t="s">
        <v>8</v>
      </c>
      <c r="CT14" s="32">
        <f t="shared" si="158"/>
        <v>0.53675590588480893</v>
      </c>
      <c r="CU14" s="30">
        <f t="shared" si="159"/>
        <v>2.7172576089065426E-2</v>
      </c>
      <c r="CV14" s="50">
        <f t="shared" si="160"/>
        <v>160322.32282801036</v>
      </c>
      <c r="CW14" s="119">
        <f t="shared" si="161"/>
        <v>0</v>
      </c>
      <c r="CX14" s="73" t="s">
        <v>8</v>
      </c>
      <c r="CY14" s="27" t="s">
        <v>8</v>
      </c>
      <c r="CZ14" s="32">
        <f t="shared" si="162"/>
        <v>0.53675590588480893</v>
      </c>
      <c r="DA14" s="30">
        <f t="shared" si="163"/>
        <v>2.7172576089065426E-2</v>
      </c>
      <c r="DB14" s="50">
        <f t="shared" si="164"/>
        <v>160322.32282801036</v>
      </c>
      <c r="DC14" s="119">
        <f t="shared" si="165"/>
        <v>0</v>
      </c>
      <c r="DD14" s="73" t="s">
        <v>8</v>
      </c>
      <c r="DE14" s="27" t="s">
        <v>8</v>
      </c>
      <c r="DF14" s="32">
        <f t="shared" si="166"/>
        <v>0.53675590588480893</v>
      </c>
      <c r="DG14" s="30">
        <f t="shared" si="167"/>
        <v>2.7172576089065426E-2</v>
      </c>
      <c r="DH14" s="50">
        <f t="shared" si="168"/>
        <v>160322.32282801036</v>
      </c>
      <c r="DI14" s="119">
        <f t="shared" si="169"/>
        <v>0</v>
      </c>
      <c r="DJ14" s="73" t="s">
        <v>8</v>
      </c>
      <c r="DK14" s="27" t="s">
        <v>8</v>
      </c>
      <c r="DL14" s="32">
        <f t="shared" si="170"/>
        <v>0.53675590588480893</v>
      </c>
      <c r="DM14" s="30">
        <f t="shared" si="171"/>
        <v>2.7172576089065426E-2</v>
      </c>
      <c r="DN14" s="50">
        <f t="shared" si="172"/>
        <v>160322.32282801036</v>
      </c>
      <c r="DO14" s="119">
        <f t="shared" si="173"/>
        <v>0</v>
      </c>
      <c r="DP14" s="73" t="s">
        <v>8</v>
      </c>
      <c r="DQ14" s="27" t="s">
        <v>8</v>
      </c>
      <c r="DR14" s="32">
        <f t="shared" si="174"/>
        <v>0.53675590588480893</v>
      </c>
      <c r="DS14" s="30">
        <f t="shared" si="175"/>
        <v>2.7172576089065426E-2</v>
      </c>
      <c r="DT14" s="50">
        <f t="shared" si="176"/>
        <v>160322.32282801036</v>
      </c>
      <c r="DU14" s="119">
        <f t="shared" si="177"/>
        <v>0</v>
      </c>
      <c r="DV14" s="73" t="s">
        <v>8</v>
      </c>
      <c r="DW14" s="27" t="s">
        <v>8</v>
      </c>
      <c r="DX14" s="32">
        <f t="shared" si="178"/>
        <v>0.53675590588480893</v>
      </c>
      <c r="DY14" s="30">
        <f t="shared" si="179"/>
        <v>2.7172576089065426E-2</v>
      </c>
      <c r="DZ14" s="31">
        <f t="shared" si="180"/>
        <v>160322.32282801036</v>
      </c>
      <c r="EA14" s="77">
        <f t="shared" si="181"/>
        <v>0</v>
      </c>
      <c r="EB14" s="73" t="s">
        <v>8</v>
      </c>
      <c r="EC14" s="27" t="s">
        <v>8</v>
      </c>
      <c r="ED14" s="32">
        <f t="shared" si="182"/>
        <v>0.53675590588480893</v>
      </c>
      <c r="EE14" s="30">
        <f t="shared" si="183"/>
        <v>2.7172576089065426E-2</v>
      </c>
      <c r="EF14" s="31">
        <f t="shared" si="184"/>
        <v>160322.32282801036</v>
      </c>
      <c r="EG14" s="77">
        <f t="shared" si="185"/>
        <v>0</v>
      </c>
      <c r="EH14" s="73" t="s">
        <v>8</v>
      </c>
      <c r="EI14" s="27" t="s">
        <v>8</v>
      </c>
      <c r="EJ14" s="32">
        <f t="shared" si="186"/>
        <v>0.53675590588480893</v>
      </c>
      <c r="EK14" s="30">
        <f t="shared" si="187"/>
        <v>2.7172576089065426E-2</v>
      </c>
      <c r="EL14" s="31">
        <f t="shared" si="188"/>
        <v>160322.32282801036</v>
      </c>
      <c r="EM14" s="77">
        <f t="shared" si="189"/>
        <v>0</v>
      </c>
      <c r="EN14" s="73" t="s">
        <v>8</v>
      </c>
      <c r="EO14" s="27" t="s">
        <v>8</v>
      </c>
      <c r="EP14" s="32">
        <f t="shared" si="190"/>
        <v>0.53675590588480893</v>
      </c>
      <c r="EQ14" s="30">
        <f t="shared" si="191"/>
        <v>2.7172576089065426E-2</v>
      </c>
      <c r="ER14" s="31">
        <f t="shared" si="192"/>
        <v>160322.32282801036</v>
      </c>
      <c r="ES14" s="77">
        <f t="shared" si="193"/>
        <v>0</v>
      </c>
      <c r="ET14" s="73" t="s">
        <v>8</v>
      </c>
      <c r="EU14" s="27" t="s">
        <v>8</v>
      </c>
      <c r="EV14" s="32">
        <f t="shared" si="194"/>
        <v>0.53675590588480893</v>
      </c>
      <c r="EW14" s="30">
        <f t="shared" si="195"/>
        <v>2.7172576089065426E-2</v>
      </c>
      <c r="EX14" s="31">
        <f t="shared" si="196"/>
        <v>160322.32282801036</v>
      </c>
      <c r="EY14" s="77">
        <f t="shared" si="197"/>
        <v>0</v>
      </c>
      <c r="EZ14" s="73" t="s">
        <v>8</v>
      </c>
      <c r="FA14" s="27" t="s">
        <v>8</v>
      </c>
      <c r="FB14" s="32">
        <f t="shared" si="198"/>
        <v>0.53675590588480893</v>
      </c>
      <c r="FC14" s="30">
        <f t="shared" si="199"/>
        <v>2.7172576089065426E-2</v>
      </c>
      <c r="FD14" s="31">
        <f t="shared" si="200"/>
        <v>160322.32282801036</v>
      </c>
      <c r="FE14" s="77">
        <f t="shared" si="201"/>
        <v>0</v>
      </c>
      <c r="FF14" s="73" t="s">
        <v>8</v>
      </c>
      <c r="FG14" s="27" t="s">
        <v>8</v>
      </c>
      <c r="FH14" s="32">
        <f t="shared" si="202"/>
        <v>0.53675590588480893</v>
      </c>
      <c r="FI14" s="30">
        <f t="shared" si="203"/>
        <v>2.7172576089065426E-2</v>
      </c>
      <c r="FJ14" s="31">
        <f t="shared" si="204"/>
        <v>160322.32282801036</v>
      </c>
      <c r="FK14" s="77">
        <f t="shared" si="205"/>
        <v>0</v>
      </c>
      <c r="FL14" s="73" t="s">
        <v>8</v>
      </c>
      <c r="FM14" s="27" t="s">
        <v>8</v>
      </c>
      <c r="FN14" s="32">
        <f t="shared" si="206"/>
        <v>0.53675590588480893</v>
      </c>
      <c r="FO14" s="30">
        <f t="shared" si="207"/>
        <v>2.7172576089065426E-2</v>
      </c>
      <c r="FP14" s="31">
        <f t="shared" si="208"/>
        <v>160322.32282801036</v>
      </c>
      <c r="FQ14" s="77">
        <f t="shared" si="209"/>
        <v>0</v>
      </c>
      <c r="FR14" s="73" t="s">
        <v>8</v>
      </c>
      <c r="FS14" s="27" t="s">
        <v>8</v>
      </c>
      <c r="FT14" s="32">
        <f t="shared" si="210"/>
        <v>0.53675590588480893</v>
      </c>
      <c r="FU14" s="30">
        <f t="shared" si="211"/>
        <v>2.7172576089065426E-2</v>
      </c>
      <c r="FV14" s="31">
        <f t="shared" si="212"/>
        <v>160322.32282801036</v>
      </c>
      <c r="FW14" s="77">
        <f t="shared" si="213"/>
        <v>0</v>
      </c>
      <c r="FX14" s="73" t="s">
        <v>8</v>
      </c>
      <c r="FY14" s="27" t="s">
        <v>8</v>
      </c>
      <c r="FZ14" s="32">
        <f t="shared" si="214"/>
        <v>0.53675590588480893</v>
      </c>
      <c r="GA14" s="30">
        <f t="shared" si="215"/>
        <v>2.7172576089065426E-2</v>
      </c>
      <c r="GB14" s="31">
        <f t="shared" si="216"/>
        <v>160322.32282801036</v>
      </c>
      <c r="GC14" s="77">
        <f t="shared" si="217"/>
        <v>0</v>
      </c>
      <c r="GD14" s="73" t="s">
        <v>8</v>
      </c>
      <c r="GE14" s="27" t="s">
        <v>8</v>
      </c>
      <c r="GF14" s="32">
        <f t="shared" si="218"/>
        <v>0.53675590588480893</v>
      </c>
      <c r="GG14" s="30">
        <f t="shared" si="219"/>
        <v>2.7172576089065426E-2</v>
      </c>
      <c r="GH14" s="31">
        <f t="shared" si="220"/>
        <v>160322.32282801036</v>
      </c>
      <c r="GI14" s="119">
        <f t="shared" si="221"/>
        <v>0</v>
      </c>
      <c r="GJ14" s="156">
        <f t="shared" si="227"/>
        <v>1047493.8706772105</v>
      </c>
      <c r="GK14" s="92">
        <f t="shared" si="222"/>
        <v>1330420.9982152991</v>
      </c>
      <c r="GL14" s="207">
        <f t="shared" si="223"/>
        <v>0.53675590588480881</v>
      </c>
      <c r="GM14" s="219">
        <v>1330421</v>
      </c>
      <c r="GN14" s="216"/>
    </row>
    <row r="15" spans="1:196" s="22" customFormat="1" ht="18.75" x14ac:dyDescent="0.25">
      <c r="A15" s="190" t="s">
        <v>183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01">
        <v>609</v>
      </c>
      <c r="H15" s="28">
        <f>'Исходные данные'!D17</f>
        <v>665923</v>
      </c>
      <c r="I15" s="29">
        <f>'Расчет КРП'!H15</f>
        <v>4.3918553706765424</v>
      </c>
      <c r="J15" s="108" t="s">
        <v>8</v>
      </c>
      <c r="K15" s="112">
        <f t="shared" si="104"/>
        <v>0.14618496936971895</v>
      </c>
      <c r="L15" s="74">
        <f t="shared" si="105"/>
        <v>449876.29417936289</v>
      </c>
      <c r="M15" s="70">
        <f t="shared" si="224"/>
        <v>0.24494286222635983</v>
      </c>
      <c r="N15" s="27" t="s">
        <v>8</v>
      </c>
      <c r="O15" s="30">
        <f t="shared" si="228"/>
        <v>6.1623429528500223E-2</v>
      </c>
      <c r="P15" s="31">
        <f t="shared" si="106"/>
        <v>402471.05010956654</v>
      </c>
      <c r="Q15" s="77">
        <f t="shared" si="107"/>
        <v>402471.05010956654</v>
      </c>
      <c r="R15" s="149" t="s">
        <v>8</v>
      </c>
      <c r="S15" s="27" t="s">
        <v>8</v>
      </c>
      <c r="T15" s="32">
        <f t="shared" si="225"/>
        <v>0.33329424539298058</v>
      </c>
      <c r="U15" s="30">
        <f t="shared" si="108"/>
        <v>6.1578988555395286E-2</v>
      </c>
      <c r="V15" s="50">
        <f t="shared" si="109"/>
        <v>459678.75767598971</v>
      </c>
      <c r="W15" s="77">
        <f t="shared" si="110"/>
        <v>459678.75767598971</v>
      </c>
      <c r="X15" s="73" t="s">
        <v>8</v>
      </c>
      <c r="Y15" s="27" t="s">
        <v>8</v>
      </c>
      <c r="Z15" s="32">
        <f t="shared" si="226"/>
        <v>0.43420399788805136</v>
      </c>
      <c r="AA15" s="30">
        <f t="shared" si="111"/>
        <v>3.898807478731775E-2</v>
      </c>
      <c r="AB15" s="50">
        <f t="shared" si="112"/>
        <v>324242.72892274969</v>
      </c>
      <c r="AC15" s="77">
        <f t="shared" si="113"/>
        <v>324242.72892274969</v>
      </c>
      <c r="AD15" s="73" t="s">
        <v>8</v>
      </c>
      <c r="AE15" s="27" t="s">
        <v>8</v>
      </c>
      <c r="AF15" s="32">
        <f t="shared" si="114"/>
        <v>0.50538251762070263</v>
      </c>
      <c r="AG15" s="30">
        <f t="shared" si="115"/>
        <v>3.7190212194834538E-2</v>
      </c>
      <c r="AH15" s="50">
        <f t="shared" si="116"/>
        <v>335768.85351611022</v>
      </c>
      <c r="AI15" s="77">
        <f t="shared" si="117"/>
        <v>123350.86833585512</v>
      </c>
      <c r="AJ15" s="73" t="s">
        <v>8</v>
      </c>
      <c r="AK15" s="27" t="s">
        <v>8</v>
      </c>
      <c r="AL15" s="32">
        <f t="shared" si="118"/>
        <v>0.53246078779519002</v>
      </c>
      <c r="AM15" s="30">
        <f t="shared" si="119"/>
        <v>3.1467694178684336E-2</v>
      </c>
      <c r="AN15" s="50">
        <f t="shared" si="120"/>
        <v>291378.60618411138</v>
      </c>
      <c r="AO15" s="77">
        <f t="shared" si="121"/>
        <v>0</v>
      </c>
      <c r="AP15" s="73" t="s">
        <v>8</v>
      </c>
      <c r="AQ15" s="27" t="s">
        <v>8</v>
      </c>
      <c r="AR15" s="32">
        <f t="shared" si="122"/>
        <v>0.53246078779519002</v>
      </c>
      <c r="AS15" s="30">
        <f t="shared" si="123"/>
        <v>3.1467694178684336E-2</v>
      </c>
      <c r="AT15" s="50">
        <f t="shared" si="124"/>
        <v>291378.60618411138</v>
      </c>
      <c r="AU15" s="77">
        <f t="shared" si="125"/>
        <v>0</v>
      </c>
      <c r="AV15" s="73" t="s">
        <v>8</v>
      </c>
      <c r="AW15" s="27" t="s">
        <v>8</v>
      </c>
      <c r="AX15" s="32">
        <f t="shared" si="126"/>
        <v>0.53246078779519002</v>
      </c>
      <c r="AY15" s="30">
        <f t="shared" si="127"/>
        <v>3.1467694178684336E-2</v>
      </c>
      <c r="AZ15" s="50">
        <f t="shared" si="128"/>
        <v>291378.60618411138</v>
      </c>
      <c r="BA15" s="77">
        <f t="shared" si="129"/>
        <v>0</v>
      </c>
      <c r="BB15" s="73" t="s">
        <v>8</v>
      </c>
      <c r="BC15" s="27" t="s">
        <v>8</v>
      </c>
      <c r="BD15" s="32">
        <f t="shared" si="130"/>
        <v>0.53246078779519002</v>
      </c>
      <c r="BE15" s="30">
        <f t="shared" si="131"/>
        <v>3.1467694178684336E-2</v>
      </c>
      <c r="BF15" s="50">
        <f t="shared" si="132"/>
        <v>291378.60618411138</v>
      </c>
      <c r="BG15" s="77">
        <f t="shared" si="133"/>
        <v>0</v>
      </c>
      <c r="BH15" s="73" t="s">
        <v>8</v>
      </c>
      <c r="BI15" s="27" t="s">
        <v>8</v>
      </c>
      <c r="BJ15" s="32">
        <f t="shared" si="134"/>
        <v>0.53246078779519002</v>
      </c>
      <c r="BK15" s="30">
        <f t="shared" si="135"/>
        <v>3.1467694178684336E-2</v>
      </c>
      <c r="BL15" s="50">
        <f t="shared" si="136"/>
        <v>291378.60618411138</v>
      </c>
      <c r="BM15" s="77">
        <f t="shared" si="137"/>
        <v>0</v>
      </c>
      <c r="BN15" s="73" t="s">
        <v>8</v>
      </c>
      <c r="BO15" s="27" t="s">
        <v>8</v>
      </c>
      <c r="BP15" s="32">
        <f t="shared" si="138"/>
        <v>0.53246078779519002</v>
      </c>
      <c r="BQ15" s="30">
        <f t="shared" si="139"/>
        <v>3.1467694178684336E-2</v>
      </c>
      <c r="BR15" s="50">
        <f t="shared" si="140"/>
        <v>291378.60618411138</v>
      </c>
      <c r="BS15" s="119">
        <f t="shared" si="141"/>
        <v>0</v>
      </c>
      <c r="BT15" s="73" t="s">
        <v>8</v>
      </c>
      <c r="BU15" s="27" t="s">
        <v>8</v>
      </c>
      <c r="BV15" s="32">
        <f t="shared" si="142"/>
        <v>0.53246078779519002</v>
      </c>
      <c r="BW15" s="30">
        <f t="shared" si="143"/>
        <v>3.1467694178684336E-2</v>
      </c>
      <c r="BX15" s="50">
        <f t="shared" si="144"/>
        <v>291378.60618411138</v>
      </c>
      <c r="BY15" s="119">
        <f t="shared" si="145"/>
        <v>0</v>
      </c>
      <c r="BZ15" s="73" t="s">
        <v>8</v>
      </c>
      <c r="CA15" s="27" t="s">
        <v>8</v>
      </c>
      <c r="CB15" s="32">
        <f t="shared" si="146"/>
        <v>0.53246078779519002</v>
      </c>
      <c r="CC15" s="30">
        <f t="shared" si="147"/>
        <v>3.1467694178684336E-2</v>
      </c>
      <c r="CD15" s="50">
        <f t="shared" si="148"/>
        <v>291378.60618411138</v>
      </c>
      <c r="CE15" s="119">
        <f t="shared" si="149"/>
        <v>0</v>
      </c>
      <c r="CF15" s="73" t="s">
        <v>8</v>
      </c>
      <c r="CG15" s="27" t="s">
        <v>8</v>
      </c>
      <c r="CH15" s="32">
        <f t="shared" si="150"/>
        <v>0.53246078779519002</v>
      </c>
      <c r="CI15" s="30">
        <f t="shared" si="151"/>
        <v>3.1467694178684336E-2</v>
      </c>
      <c r="CJ15" s="50">
        <f t="shared" si="152"/>
        <v>291378.60618411138</v>
      </c>
      <c r="CK15" s="119">
        <f t="shared" si="153"/>
        <v>0</v>
      </c>
      <c r="CL15" s="73" t="s">
        <v>8</v>
      </c>
      <c r="CM15" s="27" t="s">
        <v>8</v>
      </c>
      <c r="CN15" s="32">
        <f t="shared" si="154"/>
        <v>0.53246078779519002</v>
      </c>
      <c r="CO15" s="30">
        <f t="shared" si="155"/>
        <v>3.1467694178684336E-2</v>
      </c>
      <c r="CP15" s="50">
        <f t="shared" si="156"/>
        <v>291378.60618411138</v>
      </c>
      <c r="CQ15" s="119">
        <f t="shared" si="157"/>
        <v>0</v>
      </c>
      <c r="CR15" s="73" t="s">
        <v>8</v>
      </c>
      <c r="CS15" s="27" t="s">
        <v>8</v>
      </c>
      <c r="CT15" s="32">
        <f t="shared" si="158"/>
        <v>0.53246078779519002</v>
      </c>
      <c r="CU15" s="30">
        <f t="shared" si="159"/>
        <v>3.1467694178684336E-2</v>
      </c>
      <c r="CV15" s="50">
        <f t="shared" si="160"/>
        <v>291378.60618411138</v>
      </c>
      <c r="CW15" s="119">
        <f t="shared" si="161"/>
        <v>0</v>
      </c>
      <c r="CX15" s="73" t="s">
        <v>8</v>
      </c>
      <c r="CY15" s="27" t="s">
        <v>8</v>
      </c>
      <c r="CZ15" s="32">
        <f t="shared" si="162"/>
        <v>0.53246078779519002</v>
      </c>
      <c r="DA15" s="30">
        <f t="shared" si="163"/>
        <v>3.1467694178684336E-2</v>
      </c>
      <c r="DB15" s="50">
        <f t="shared" si="164"/>
        <v>291378.60618411138</v>
      </c>
      <c r="DC15" s="119">
        <f t="shared" si="165"/>
        <v>0</v>
      </c>
      <c r="DD15" s="73" t="s">
        <v>8</v>
      </c>
      <c r="DE15" s="27" t="s">
        <v>8</v>
      </c>
      <c r="DF15" s="32">
        <f t="shared" si="166"/>
        <v>0.53246078779519002</v>
      </c>
      <c r="DG15" s="30">
        <f t="shared" si="167"/>
        <v>3.1467694178684336E-2</v>
      </c>
      <c r="DH15" s="50">
        <f t="shared" si="168"/>
        <v>291378.60618411138</v>
      </c>
      <c r="DI15" s="119">
        <f t="shared" si="169"/>
        <v>0</v>
      </c>
      <c r="DJ15" s="73" t="s">
        <v>8</v>
      </c>
      <c r="DK15" s="27" t="s">
        <v>8</v>
      </c>
      <c r="DL15" s="32">
        <f t="shared" si="170"/>
        <v>0.53246078779519002</v>
      </c>
      <c r="DM15" s="30">
        <f t="shared" si="171"/>
        <v>3.1467694178684336E-2</v>
      </c>
      <c r="DN15" s="50">
        <f t="shared" si="172"/>
        <v>291378.60618411138</v>
      </c>
      <c r="DO15" s="119">
        <f t="shared" si="173"/>
        <v>0</v>
      </c>
      <c r="DP15" s="73" t="s">
        <v>8</v>
      </c>
      <c r="DQ15" s="27" t="s">
        <v>8</v>
      </c>
      <c r="DR15" s="32">
        <f t="shared" si="174"/>
        <v>0.53246078779519002</v>
      </c>
      <c r="DS15" s="30">
        <f t="shared" si="175"/>
        <v>3.1467694178684336E-2</v>
      </c>
      <c r="DT15" s="50">
        <f t="shared" si="176"/>
        <v>291378.60618411138</v>
      </c>
      <c r="DU15" s="119">
        <f t="shared" si="177"/>
        <v>0</v>
      </c>
      <c r="DV15" s="73" t="s">
        <v>8</v>
      </c>
      <c r="DW15" s="27" t="s">
        <v>8</v>
      </c>
      <c r="DX15" s="32">
        <f t="shared" si="178"/>
        <v>0.53246078779519002</v>
      </c>
      <c r="DY15" s="30">
        <f t="shared" si="179"/>
        <v>3.1467694178684336E-2</v>
      </c>
      <c r="DZ15" s="31">
        <f t="shared" si="180"/>
        <v>291378.60618411138</v>
      </c>
      <c r="EA15" s="77">
        <f t="shared" si="181"/>
        <v>0</v>
      </c>
      <c r="EB15" s="73" t="s">
        <v>8</v>
      </c>
      <c r="EC15" s="27" t="s">
        <v>8</v>
      </c>
      <c r="ED15" s="32">
        <f t="shared" si="182"/>
        <v>0.53246078779519002</v>
      </c>
      <c r="EE15" s="30">
        <f t="shared" si="183"/>
        <v>3.1467694178684336E-2</v>
      </c>
      <c r="EF15" s="31">
        <f t="shared" si="184"/>
        <v>291378.60618411138</v>
      </c>
      <c r="EG15" s="77">
        <f t="shared" si="185"/>
        <v>0</v>
      </c>
      <c r="EH15" s="73" t="s">
        <v>8</v>
      </c>
      <c r="EI15" s="27" t="s">
        <v>8</v>
      </c>
      <c r="EJ15" s="32">
        <f t="shared" si="186"/>
        <v>0.53246078779519002</v>
      </c>
      <c r="EK15" s="30">
        <f t="shared" si="187"/>
        <v>3.1467694178684336E-2</v>
      </c>
      <c r="EL15" s="31">
        <f t="shared" si="188"/>
        <v>291378.60618411138</v>
      </c>
      <c r="EM15" s="77">
        <f t="shared" si="189"/>
        <v>0</v>
      </c>
      <c r="EN15" s="73" t="s">
        <v>8</v>
      </c>
      <c r="EO15" s="27" t="s">
        <v>8</v>
      </c>
      <c r="EP15" s="32">
        <f t="shared" si="190"/>
        <v>0.53246078779519002</v>
      </c>
      <c r="EQ15" s="30">
        <f t="shared" si="191"/>
        <v>3.1467694178684336E-2</v>
      </c>
      <c r="ER15" s="31">
        <f t="shared" si="192"/>
        <v>291378.60618411138</v>
      </c>
      <c r="ES15" s="77">
        <f t="shared" si="193"/>
        <v>0</v>
      </c>
      <c r="ET15" s="73" t="s">
        <v>8</v>
      </c>
      <c r="EU15" s="27" t="s">
        <v>8</v>
      </c>
      <c r="EV15" s="32">
        <f t="shared" si="194"/>
        <v>0.53246078779519002</v>
      </c>
      <c r="EW15" s="30">
        <f t="shared" si="195"/>
        <v>3.1467694178684336E-2</v>
      </c>
      <c r="EX15" s="31">
        <f t="shared" si="196"/>
        <v>291378.60618411138</v>
      </c>
      <c r="EY15" s="77">
        <f t="shared" si="197"/>
        <v>0</v>
      </c>
      <c r="EZ15" s="73" t="s">
        <v>8</v>
      </c>
      <c r="FA15" s="27" t="s">
        <v>8</v>
      </c>
      <c r="FB15" s="32">
        <f t="shared" si="198"/>
        <v>0.53246078779519002</v>
      </c>
      <c r="FC15" s="30">
        <f t="shared" si="199"/>
        <v>3.1467694178684336E-2</v>
      </c>
      <c r="FD15" s="31">
        <f t="shared" si="200"/>
        <v>291378.60618411138</v>
      </c>
      <c r="FE15" s="77">
        <f t="shared" si="201"/>
        <v>0</v>
      </c>
      <c r="FF15" s="73" t="s">
        <v>8</v>
      </c>
      <c r="FG15" s="27" t="s">
        <v>8</v>
      </c>
      <c r="FH15" s="32">
        <f t="shared" si="202"/>
        <v>0.53246078779519002</v>
      </c>
      <c r="FI15" s="30">
        <f t="shared" si="203"/>
        <v>3.1467694178684336E-2</v>
      </c>
      <c r="FJ15" s="31">
        <f t="shared" si="204"/>
        <v>291378.60618411138</v>
      </c>
      <c r="FK15" s="77">
        <f t="shared" si="205"/>
        <v>0</v>
      </c>
      <c r="FL15" s="73" t="s">
        <v>8</v>
      </c>
      <c r="FM15" s="27" t="s">
        <v>8</v>
      </c>
      <c r="FN15" s="32">
        <f t="shared" si="206"/>
        <v>0.53246078779519002</v>
      </c>
      <c r="FO15" s="30">
        <f t="shared" si="207"/>
        <v>3.1467694178684336E-2</v>
      </c>
      <c r="FP15" s="31">
        <f t="shared" si="208"/>
        <v>291378.60618411138</v>
      </c>
      <c r="FQ15" s="77">
        <f t="shared" si="209"/>
        <v>0</v>
      </c>
      <c r="FR15" s="73" t="s">
        <v>8</v>
      </c>
      <c r="FS15" s="27" t="s">
        <v>8</v>
      </c>
      <c r="FT15" s="32">
        <f t="shared" si="210"/>
        <v>0.53246078779519002</v>
      </c>
      <c r="FU15" s="30">
        <f t="shared" si="211"/>
        <v>3.1467694178684336E-2</v>
      </c>
      <c r="FV15" s="31">
        <f t="shared" si="212"/>
        <v>291378.60618411138</v>
      </c>
      <c r="FW15" s="77">
        <f t="shared" si="213"/>
        <v>0</v>
      </c>
      <c r="FX15" s="73" t="s">
        <v>8</v>
      </c>
      <c r="FY15" s="27" t="s">
        <v>8</v>
      </c>
      <c r="FZ15" s="32">
        <f t="shared" si="214"/>
        <v>0.53246078779519002</v>
      </c>
      <c r="GA15" s="30">
        <f t="shared" si="215"/>
        <v>3.1467694178684336E-2</v>
      </c>
      <c r="GB15" s="31">
        <f t="shared" si="216"/>
        <v>291378.60618411138</v>
      </c>
      <c r="GC15" s="77">
        <f t="shared" si="217"/>
        <v>0</v>
      </c>
      <c r="GD15" s="73" t="s">
        <v>8</v>
      </c>
      <c r="GE15" s="27" t="s">
        <v>8</v>
      </c>
      <c r="GF15" s="32">
        <f t="shared" si="218"/>
        <v>0.53246078779519002</v>
      </c>
      <c r="GG15" s="30">
        <f t="shared" si="219"/>
        <v>3.1467694178684336E-2</v>
      </c>
      <c r="GH15" s="31">
        <f t="shared" si="220"/>
        <v>291378.60618411138</v>
      </c>
      <c r="GI15" s="119">
        <f t="shared" si="221"/>
        <v>0</v>
      </c>
      <c r="GJ15" s="156">
        <f t="shared" si="227"/>
        <v>1309743.405044161</v>
      </c>
      <c r="GK15" s="92">
        <f t="shared" si="222"/>
        <v>1759619.699223524</v>
      </c>
      <c r="GL15" s="207">
        <f t="shared" si="223"/>
        <v>0.53246078779519002</v>
      </c>
      <c r="GM15" s="219">
        <v>1759619.7</v>
      </c>
      <c r="GN15" s="216"/>
    </row>
    <row r="16" spans="1:196" s="22" customFormat="1" ht="18.75" x14ac:dyDescent="0.25">
      <c r="A16" s="190" t="s">
        <v>184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01">
        <v>171</v>
      </c>
      <c r="H16" s="28">
        <f>'Исходные данные'!D18</f>
        <v>198895</v>
      </c>
      <c r="I16" s="29">
        <f>'Расчет КРП'!H16</f>
        <v>4.6856533585925604</v>
      </c>
      <c r="J16" s="108" t="s">
        <v>8</v>
      </c>
      <c r="K16" s="112">
        <f t="shared" si="104"/>
        <v>0.14574767214937362</v>
      </c>
      <c r="L16" s="74">
        <f t="shared" si="105"/>
        <v>126319.94467105264</v>
      </c>
      <c r="M16" s="70">
        <f t="shared" si="224"/>
        <v>0.2383132865783115</v>
      </c>
      <c r="N16" s="27" t="s">
        <v>8</v>
      </c>
      <c r="O16" s="30">
        <f t="shared" si="228"/>
        <v>6.8253005176548559E-2</v>
      </c>
      <c r="P16" s="31">
        <f t="shared" si="106"/>
        <v>133540.04096125011</v>
      </c>
      <c r="Q16" s="77">
        <f t="shared" si="107"/>
        <v>133540.04096125011</v>
      </c>
      <c r="R16" s="149" t="s">
        <v>8</v>
      </c>
      <c r="S16" s="27" t="s">
        <v>8</v>
      </c>
      <c r="T16" s="32">
        <f t="shared" si="225"/>
        <v>0.33616969377222888</v>
      </c>
      <c r="U16" s="30">
        <f t="shared" si="108"/>
        <v>5.8703540176146984E-2</v>
      </c>
      <c r="V16" s="50">
        <f t="shared" si="109"/>
        <v>131276.5397490238</v>
      </c>
      <c r="W16" s="77">
        <f t="shared" si="110"/>
        <v>131276.5397490238</v>
      </c>
      <c r="X16" s="73" t="s">
        <v>8</v>
      </c>
      <c r="Y16" s="27" t="s">
        <v>8</v>
      </c>
      <c r="Z16" s="32">
        <f t="shared" si="226"/>
        <v>0.43236743668303573</v>
      </c>
      <c r="AA16" s="30">
        <f t="shared" si="111"/>
        <v>4.082463599233338E-2</v>
      </c>
      <c r="AB16" s="50">
        <f t="shared" si="112"/>
        <v>101709.54725552908</v>
      </c>
      <c r="AC16" s="77">
        <f t="shared" si="113"/>
        <v>101709.54725552908</v>
      </c>
      <c r="AD16" s="73" t="s">
        <v>8</v>
      </c>
      <c r="AE16" s="27" t="s">
        <v>8</v>
      </c>
      <c r="AF16" s="32">
        <f t="shared" si="114"/>
        <v>0.50689887160025382</v>
      </c>
      <c r="AG16" s="30">
        <f t="shared" si="115"/>
        <v>3.5673858215283349E-2</v>
      </c>
      <c r="AH16" s="50">
        <f t="shared" si="116"/>
        <v>96485.661337769809</v>
      </c>
      <c r="AI16" s="77">
        <f t="shared" si="117"/>
        <v>35445.783560154159</v>
      </c>
      <c r="AJ16" s="73" t="s">
        <v>8</v>
      </c>
      <c r="AK16" s="27" t="s">
        <v>8</v>
      </c>
      <c r="AL16" s="32">
        <f t="shared" si="118"/>
        <v>0.53287308131594791</v>
      </c>
      <c r="AM16" s="30">
        <f t="shared" si="119"/>
        <v>3.1055400657926446E-2</v>
      </c>
      <c r="AN16" s="50">
        <f t="shared" si="120"/>
        <v>86145.148091758165</v>
      </c>
      <c r="AO16" s="77">
        <f t="shared" si="121"/>
        <v>0</v>
      </c>
      <c r="AP16" s="73" t="s">
        <v>8</v>
      </c>
      <c r="AQ16" s="27" t="s">
        <v>8</v>
      </c>
      <c r="AR16" s="32">
        <f t="shared" si="122"/>
        <v>0.53287308131594791</v>
      </c>
      <c r="AS16" s="30">
        <f t="shared" si="123"/>
        <v>3.1055400657926446E-2</v>
      </c>
      <c r="AT16" s="50">
        <f t="shared" si="124"/>
        <v>86145.148091758165</v>
      </c>
      <c r="AU16" s="77">
        <f t="shared" si="125"/>
        <v>0</v>
      </c>
      <c r="AV16" s="73" t="s">
        <v>8</v>
      </c>
      <c r="AW16" s="27" t="s">
        <v>8</v>
      </c>
      <c r="AX16" s="32">
        <f t="shared" si="126"/>
        <v>0.53287308131594791</v>
      </c>
      <c r="AY16" s="30">
        <f t="shared" si="127"/>
        <v>3.1055400657926446E-2</v>
      </c>
      <c r="AZ16" s="50">
        <f t="shared" si="128"/>
        <v>86145.148091758165</v>
      </c>
      <c r="BA16" s="77">
        <f t="shared" si="129"/>
        <v>0</v>
      </c>
      <c r="BB16" s="73" t="s">
        <v>8</v>
      </c>
      <c r="BC16" s="27" t="s">
        <v>8</v>
      </c>
      <c r="BD16" s="32">
        <f t="shared" si="130"/>
        <v>0.53287308131594791</v>
      </c>
      <c r="BE16" s="30">
        <f t="shared" si="131"/>
        <v>3.1055400657926446E-2</v>
      </c>
      <c r="BF16" s="50">
        <f t="shared" si="132"/>
        <v>86145.148091758165</v>
      </c>
      <c r="BG16" s="77">
        <f t="shared" si="133"/>
        <v>0</v>
      </c>
      <c r="BH16" s="73" t="s">
        <v>8</v>
      </c>
      <c r="BI16" s="27" t="s">
        <v>8</v>
      </c>
      <c r="BJ16" s="32">
        <f t="shared" si="134"/>
        <v>0.53287308131594791</v>
      </c>
      <c r="BK16" s="30">
        <f t="shared" si="135"/>
        <v>3.1055400657926446E-2</v>
      </c>
      <c r="BL16" s="50">
        <f t="shared" si="136"/>
        <v>86145.148091758165</v>
      </c>
      <c r="BM16" s="77">
        <f t="shared" si="137"/>
        <v>0</v>
      </c>
      <c r="BN16" s="73" t="s">
        <v>8</v>
      </c>
      <c r="BO16" s="27" t="s">
        <v>8</v>
      </c>
      <c r="BP16" s="32">
        <f t="shared" si="138"/>
        <v>0.53287308131594791</v>
      </c>
      <c r="BQ16" s="30">
        <f t="shared" si="139"/>
        <v>3.1055400657926446E-2</v>
      </c>
      <c r="BR16" s="50">
        <f t="shared" si="140"/>
        <v>86145.148091758165</v>
      </c>
      <c r="BS16" s="119">
        <f t="shared" si="141"/>
        <v>0</v>
      </c>
      <c r="BT16" s="73" t="s">
        <v>8</v>
      </c>
      <c r="BU16" s="27" t="s">
        <v>8</v>
      </c>
      <c r="BV16" s="32">
        <f t="shared" si="142"/>
        <v>0.53287308131594791</v>
      </c>
      <c r="BW16" s="30">
        <f t="shared" si="143"/>
        <v>3.1055400657926446E-2</v>
      </c>
      <c r="BX16" s="50">
        <f t="shared" si="144"/>
        <v>86145.148091758165</v>
      </c>
      <c r="BY16" s="119">
        <f t="shared" si="145"/>
        <v>0</v>
      </c>
      <c r="BZ16" s="73" t="s">
        <v>8</v>
      </c>
      <c r="CA16" s="27" t="s">
        <v>8</v>
      </c>
      <c r="CB16" s="32">
        <f t="shared" si="146"/>
        <v>0.53287308131594791</v>
      </c>
      <c r="CC16" s="30">
        <f t="shared" si="147"/>
        <v>3.1055400657926446E-2</v>
      </c>
      <c r="CD16" s="50">
        <f t="shared" si="148"/>
        <v>86145.148091758165</v>
      </c>
      <c r="CE16" s="119">
        <f t="shared" si="149"/>
        <v>0</v>
      </c>
      <c r="CF16" s="73" t="s">
        <v>8</v>
      </c>
      <c r="CG16" s="27" t="s">
        <v>8</v>
      </c>
      <c r="CH16" s="32">
        <f t="shared" si="150"/>
        <v>0.53287308131594791</v>
      </c>
      <c r="CI16" s="30">
        <f t="shared" si="151"/>
        <v>3.1055400657926446E-2</v>
      </c>
      <c r="CJ16" s="50">
        <f t="shared" si="152"/>
        <v>86145.148091758165</v>
      </c>
      <c r="CK16" s="119">
        <f t="shared" si="153"/>
        <v>0</v>
      </c>
      <c r="CL16" s="73" t="s">
        <v>8</v>
      </c>
      <c r="CM16" s="27" t="s">
        <v>8</v>
      </c>
      <c r="CN16" s="32">
        <f t="shared" si="154"/>
        <v>0.53287308131594791</v>
      </c>
      <c r="CO16" s="30">
        <f t="shared" si="155"/>
        <v>3.1055400657926446E-2</v>
      </c>
      <c r="CP16" s="50">
        <f t="shared" si="156"/>
        <v>86145.148091758165</v>
      </c>
      <c r="CQ16" s="119">
        <f t="shared" si="157"/>
        <v>0</v>
      </c>
      <c r="CR16" s="73" t="s">
        <v>8</v>
      </c>
      <c r="CS16" s="27" t="s">
        <v>8</v>
      </c>
      <c r="CT16" s="32">
        <f t="shared" si="158"/>
        <v>0.53287308131594791</v>
      </c>
      <c r="CU16" s="30">
        <f t="shared" si="159"/>
        <v>3.1055400657926446E-2</v>
      </c>
      <c r="CV16" s="50">
        <f t="shared" si="160"/>
        <v>86145.148091758165</v>
      </c>
      <c r="CW16" s="119">
        <f t="shared" si="161"/>
        <v>0</v>
      </c>
      <c r="CX16" s="73" t="s">
        <v>8</v>
      </c>
      <c r="CY16" s="27" t="s">
        <v>8</v>
      </c>
      <c r="CZ16" s="32">
        <f t="shared" si="162"/>
        <v>0.53287308131594791</v>
      </c>
      <c r="DA16" s="30">
        <f t="shared" si="163"/>
        <v>3.1055400657926446E-2</v>
      </c>
      <c r="DB16" s="50">
        <f t="shared" si="164"/>
        <v>86145.148091758165</v>
      </c>
      <c r="DC16" s="119">
        <f t="shared" si="165"/>
        <v>0</v>
      </c>
      <c r="DD16" s="73" t="s">
        <v>8</v>
      </c>
      <c r="DE16" s="27" t="s">
        <v>8</v>
      </c>
      <c r="DF16" s="32">
        <f t="shared" si="166"/>
        <v>0.53287308131594791</v>
      </c>
      <c r="DG16" s="30">
        <f t="shared" si="167"/>
        <v>3.1055400657926446E-2</v>
      </c>
      <c r="DH16" s="50">
        <f t="shared" si="168"/>
        <v>86145.148091758165</v>
      </c>
      <c r="DI16" s="119">
        <f t="shared" si="169"/>
        <v>0</v>
      </c>
      <c r="DJ16" s="73" t="s">
        <v>8</v>
      </c>
      <c r="DK16" s="27" t="s">
        <v>8</v>
      </c>
      <c r="DL16" s="32">
        <f t="shared" si="170"/>
        <v>0.53287308131594791</v>
      </c>
      <c r="DM16" s="30">
        <f t="shared" si="171"/>
        <v>3.1055400657926446E-2</v>
      </c>
      <c r="DN16" s="50">
        <f t="shared" si="172"/>
        <v>86145.148091758165</v>
      </c>
      <c r="DO16" s="119">
        <f t="shared" si="173"/>
        <v>0</v>
      </c>
      <c r="DP16" s="73" t="s">
        <v>8</v>
      </c>
      <c r="DQ16" s="27" t="s">
        <v>8</v>
      </c>
      <c r="DR16" s="32">
        <f t="shared" si="174"/>
        <v>0.53287308131594791</v>
      </c>
      <c r="DS16" s="30">
        <f t="shared" si="175"/>
        <v>3.1055400657926446E-2</v>
      </c>
      <c r="DT16" s="50">
        <f t="shared" si="176"/>
        <v>86145.148091758165</v>
      </c>
      <c r="DU16" s="119">
        <f t="shared" si="177"/>
        <v>0</v>
      </c>
      <c r="DV16" s="73" t="s">
        <v>8</v>
      </c>
      <c r="DW16" s="27" t="s">
        <v>8</v>
      </c>
      <c r="DX16" s="32">
        <f t="shared" si="178"/>
        <v>0.53287308131594791</v>
      </c>
      <c r="DY16" s="30">
        <f t="shared" si="179"/>
        <v>3.1055400657926446E-2</v>
      </c>
      <c r="DZ16" s="31">
        <f t="shared" si="180"/>
        <v>86145.148091758165</v>
      </c>
      <c r="EA16" s="77">
        <f t="shared" si="181"/>
        <v>0</v>
      </c>
      <c r="EB16" s="73" t="s">
        <v>8</v>
      </c>
      <c r="EC16" s="27" t="s">
        <v>8</v>
      </c>
      <c r="ED16" s="32">
        <f t="shared" si="182"/>
        <v>0.53287308131594791</v>
      </c>
      <c r="EE16" s="30">
        <f t="shared" si="183"/>
        <v>3.1055400657926446E-2</v>
      </c>
      <c r="EF16" s="31">
        <f t="shared" si="184"/>
        <v>86145.148091758165</v>
      </c>
      <c r="EG16" s="77">
        <f t="shared" si="185"/>
        <v>0</v>
      </c>
      <c r="EH16" s="73" t="s">
        <v>8</v>
      </c>
      <c r="EI16" s="27" t="s">
        <v>8</v>
      </c>
      <c r="EJ16" s="32">
        <f t="shared" si="186"/>
        <v>0.53287308131594791</v>
      </c>
      <c r="EK16" s="30">
        <f t="shared" si="187"/>
        <v>3.1055400657926446E-2</v>
      </c>
      <c r="EL16" s="31">
        <f t="shared" si="188"/>
        <v>86145.148091758165</v>
      </c>
      <c r="EM16" s="77">
        <f t="shared" si="189"/>
        <v>0</v>
      </c>
      <c r="EN16" s="73" t="s">
        <v>8</v>
      </c>
      <c r="EO16" s="27" t="s">
        <v>8</v>
      </c>
      <c r="EP16" s="32">
        <f t="shared" si="190"/>
        <v>0.53287308131594791</v>
      </c>
      <c r="EQ16" s="30">
        <f t="shared" si="191"/>
        <v>3.1055400657926446E-2</v>
      </c>
      <c r="ER16" s="31">
        <f t="shared" si="192"/>
        <v>86145.148091758165</v>
      </c>
      <c r="ES16" s="77">
        <f t="shared" si="193"/>
        <v>0</v>
      </c>
      <c r="ET16" s="73" t="s">
        <v>8</v>
      </c>
      <c r="EU16" s="27" t="s">
        <v>8</v>
      </c>
      <c r="EV16" s="32">
        <f t="shared" si="194"/>
        <v>0.53287308131594791</v>
      </c>
      <c r="EW16" s="30">
        <f t="shared" si="195"/>
        <v>3.1055400657926446E-2</v>
      </c>
      <c r="EX16" s="31">
        <f t="shared" si="196"/>
        <v>86145.148091758165</v>
      </c>
      <c r="EY16" s="77">
        <f t="shared" si="197"/>
        <v>0</v>
      </c>
      <c r="EZ16" s="73" t="s">
        <v>8</v>
      </c>
      <c r="FA16" s="27" t="s">
        <v>8</v>
      </c>
      <c r="FB16" s="32">
        <f t="shared" si="198"/>
        <v>0.53287308131594791</v>
      </c>
      <c r="FC16" s="30">
        <f t="shared" si="199"/>
        <v>3.1055400657926446E-2</v>
      </c>
      <c r="FD16" s="31">
        <f t="shared" si="200"/>
        <v>86145.148091758165</v>
      </c>
      <c r="FE16" s="77">
        <f t="shared" si="201"/>
        <v>0</v>
      </c>
      <c r="FF16" s="73" t="s">
        <v>8</v>
      </c>
      <c r="FG16" s="27" t="s">
        <v>8</v>
      </c>
      <c r="FH16" s="32">
        <f t="shared" si="202"/>
        <v>0.53287308131594791</v>
      </c>
      <c r="FI16" s="30">
        <f t="shared" si="203"/>
        <v>3.1055400657926446E-2</v>
      </c>
      <c r="FJ16" s="31">
        <f t="shared" si="204"/>
        <v>86145.148091758165</v>
      </c>
      <c r="FK16" s="77">
        <f t="shared" si="205"/>
        <v>0</v>
      </c>
      <c r="FL16" s="73" t="s">
        <v>8</v>
      </c>
      <c r="FM16" s="27" t="s">
        <v>8</v>
      </c>
      <c r="FN16" s="32">
        <f t="shared" si="206"/>
        <v>0.53287308131594791</v>
      </c>
      <c r="FO16" s="30">
        <f t="shared" si="207"/>
        <v>3.1055400657926446E-2</v>
      </c>
      <c r="FP16" s="31">
        <f t="shared" si="208"/>
        <v>86145.148091758165</v>
      </c>
      <c r="FQ16" s="77">
        <f t="shared" si="209"/>
        <v>0</v>
      </c>
      <c r="FR16" s="73" t="s">
        <v>8</v>
      </c>
      <c r="FS16" s="27" t="s">
        <v>8</v>
      </c>
      <c r="FT16" s="32">
        <f t="shared" si="210"/>
        <v>0.53287308131594791</v>
      </c>
      <c r="FU16" s="30">
        <f t="shared" si="211"/>
        <v>3.1055400657926446E-2</v>
      </c>
      <c r="FV16" s="31">
        <f t="shared" si="212"/>
        <v>86145.148091758165</v>
      </c>
      <c r="FW16" s="77">
        <f t="shared" si="213"/>
        <v>0</v>
      </c>
      <c r="FX16" s="73" t="s">
        <v>8</v>
      </c>
      <c r="FY16" s="27" t="s">
        <v>8</v>
      </c>
      <c r="FZ16" s="32">
        <f t="shared" si="214"/>
        <v>0.53287308131594791</v>
      </c>
      <c r="GA16" s="30">
        <f t="shared" si="215"/>
        <v>3.1055400657926446E-2</v>
      </c>
      <c r="GB16" s="31">
        <f t="shared" si="216"/>
        <v>86145.148091758165</v>
      </c>
      <c r="GC16" s="77">
        <f t="shared" si="217"/>
        <v>0</v>
      </c>
      <c r="GD16" s="73" t="s">
        <v>8</v>
      </c>
      <c r="GE16" s="27" t="s">
        <v>8</v>
      </c>
      <c r="GF16" s="32">
        <f t="shared" si="218"/>
        <v>0.53287308131594791</v>
      </c>
      <c r="GG16" s="30">
        <f t="shared" si="219"/>
        <v>3.1055400657926446E-2</v>
      </c>
      <c r="GH16" s="31">
        <f t="shared" si="220"/>
        <v>86145.148091758165</v>
      </c>
      <c r="GI16" s="119">
        <f t="shared" si="221"/>
        <v>0</v>
      </c>
      <c r="GJ16" s="156">
        <f t="shared" si="227"/>
        <v>401971.91152595717</v>
      </c>
      <c r="GK16" s="92">
        <f t="shared" si="222"/>
        <v>528291.85619700979</v>
      </c>
      <c r="GL16" s="207">
        <f t="shared" si="223"/>
        <v>0.53287308131594813</v>
      </c>
      <c r="GM16" s="219">
        <v>528291.86</v>
      </c>
      <c r="GN16" s="216"/>
    </row>
    <row r="17" spans="1:196" s="22" customFormat="1" ht="18.75" x14ac:dyDescent="0.25">
      <c r="A17" s="190" t="s">
        <v>185</v>
      </c>
      <c r="B17" s="144" t="s">
        <v>8</v>
      </c>
      <c r="C17" s="144" t="s">
        <v>8</v>
      </c>
      <c r="D17" s="144" t="s">
        <v>8</v>
      </c>
      <c r="E17" s="144" t="s">
        <v>8</v>
      </c>
      <c r="F17" s="144" t="s">
        <v>8</v>
      </c>
      <c r="G17" s="101">
        <v>483</v>
      </c>
      <c r="H17" s="28">
        <f>'Исходные данные'!D19</f>
        <v>601528</v>
      </c>
      <c r="I17" s="29">
        <f>'Расчет КРП'!H17</f>
        <v>4.4990549214763726</v>
      </c>
      <c r="J17" s="108" t="s">
        <v>8</v>
      </c>
      <c r="K17" s="112">
        <f t="shared" si="104"/>
        <v>0.16252921983949395</v>
      </c>
      <c r="L17" s="74">
        <f t="shared" si="105"/>
        <v>356798.44021121884</v>
      </c>
      <c r="M17" s="70">
        <f t="shared" si="224"/>
        <v>0.25893399588895083</v>
      </c>
      <c r="N17" s="27" t="s">
        <v>8</v>
      </c>
      <c r="O17" s="30">
        <f t="shared" si="228"/>
        <v>4.7632295865909224E-2</v>
      </c>
      <c r="P17" s="31">
        <f t="shared" si="106"/>
        <v>252751.30139644362</v>
      </c>
      <c r="Q17" s="77">
        <f t="shared" si="107"/>
        <v>252751.30139644362</v>
      </c>
      <c r="R17" s="149" t="s">
        <v>8</v>
      </c>
      <c r="S17" s="27" t="s">
        <v>8</v>
      </c>
      <c r="T17" s="32">
        <f t="shared" si="225"/>
        <v>0.3272258656429452</v>
      </c>
      <c r="U17" s="30">
        <f t="shared" si="108"/>
        <v>6.7647368305430666E-2</v>
      </c>
      <c r="V17" s="50">
        <f t="shared" si="109"/>
        <v>410275.79206354177</v>
      </c>
      <c r="W17" s="77">
        <f t="shared" si="110"/>
        <v>410275.79206354177</v>
      </c>
      <c r="X17" s="73" t="s">
        <v>8</v>
      </c>
      <c r="Y17" s="27" t="s">
        <v>8</v>
      </c>
      <c r="Z17" s="32">
        <f t="shared" si="226"/>
        <v>0.43807989804562292</v>
      </c>
      <c r="AA17" s="30">
        <f t="shared" si="111"/>
        <v>3.5112174629746196E-2</v>
      </c>
      <c r="AB17" s="50">
        <f t="shared" si="112"/>
        <v>237246.21164014281</v>
      </c>
      <c r="AC17" s="77">
        <f t="shared" si="113"/>
        <v>237246.21164014281</v>
      </c>
      <c r="AD17" s="73" t="s">
        <v>8</v>
      </c>
      <c r="AE17" s="27" t="s">
        <v>8</v>
      </c>
      <c r="AF17" s="32">
        <f t="shared" si="114"/>
        <v>0.50218238652121816</v>
      </c>
      <c r="AG17" s="30">
        <f t="shared" si="115"/>
        <v>4.0390343294319009E-2</v>
      </c>
      <c r="AH17" s="50">
        <f t="shared" si="116"/>
        <v>296273.22096876852</v>
      </c>
      <c r="AI17" s="77">
        <f t="shared" si="117"/>
        <v>108841.42078236215</v>
      </c>
      <c r="AJ17" s="73" t="s">
        <v>8</v>
      </c>
      <c r="AK17" s="27" t="s">
        <v>8</v>
      </c>
      <c r="AL17" s="32">
        <f t="shared" si="118"/>
        <v>0.53159067874698218</v>
      </c>
      <c r="AM17" s="30">
        <f t="shared" si="119"/>
        <v>3.233780322689217E-2</v>
      </c>
      <c r="AN17" s="50">
        <f t="shared" si="120"/>
        <v>243279.9723986873</v>
      </c>
      <c r="AO17" s="77">
        <f t="shared" si="121"/>
        <v>0</v>
      </c>
      <c r="AP17" s="73" t="s">
        <v>8</v>
      </c>
      <c r="AQ17" s="27" t="s">
        <v>8</v>
      </c>
      <c r="AR17" s="32">
        <f t="shared" si="122"/>
        <v>0.53159067874698218</v>
      </c>
      <c r="AS17" s="30">
        <f t="shared" si="123"/>
        <v>3.233780322689217E-2</v>
      </c>
      <c r="AT17" s="50">
        <f t="shared" si="124"/>
        <v>243279.9723986873</v>
      </c>
      <c r="AU17" s="77">
        <f t="shared" si="125"/>
        <v>0</v>
      </c>
      <c r="AV17" s="73" t="s">
        <v>8</v>
      </c>
      <c r="AW17" s="27" t="s">
        <v>8</v>
      </c>
      <c r="AX17" s="32">
        <f t="shared" si="126"/>
        <v>0.53159067874698218</v>
      </c>
      <c r="AY17" s="30">
        <f t="shared" si="127"/>
        <v>3.233780322689217E-2</v>
      </c>
      <c r="AZ17" s="50">
        <f t="shared" si="128"/>
        <v>243279.9723986873</v>
      </c>
      <c r="BA17" s="77">
        <f t="shared" si="129"/>
        <v>0</v>
      </c>
      <c r="BB17" s="73" t="s">
        <v>8</v>
      </c>
      <c r="BC17" s="27" t="s">
        <v>8</v>
      </c>
      <c r="BD17" s="32">
        <f t="shared" si="130"/>
        <v>0.53159067874698218</v>
      </c>
      <c r="BE17" s="30">
        <f t="shared" si="131"/>
        <v>3.233780322689217E-2</v>
      </c>
      <c r="BF17" s="50">
        <f t="shared" si="132"/>
        <v>243279.9723986873</v>
      </c>
      <c r="BG17" s="77">
        <f t="shared" si="133"/>
        <v>0</v>
      </c>
      <c r="BH17" s="73" t="s">
        <v>8</v>
      </c>
      <c r="BI17" s="27" t="s">
        <v>8</v>
      </c>
      <c r="BJ17" s="32">
        <f t="shared" si="134"/>
        <v>0.53159067874698218</v>
      </c>
      <c r="BK17" s="30">
        <f t="shared" si="135"/>
        <v>3.233780322689217E-2</v>
      </c>
      <c r="BL17" s="50">
        <f t="shared" si="136"/>
        <v>243279.9723986873</v>
      </c>
      <c r="BM17" s="77">
        <f t="shared" si="137"/>
        <v>0</v>
      </c>
      <c r="BN17" s="73" t="s">
        <v>8</v>
      </c>
      <c r="BO17" s="27" t="s">
        <v>8</v>
      </c>
      <c r="BP17" s="32">
        <f t="shared" si="138"/>
        <v>0.53159067874698218</v>
      </c>
      <c r="BQ17" s="30">
        <f t="shared" si="139"/>
        <v>3.233780322689217E-2</v>
      </c>
      <c r="BR17" s="50">
        <f t="shared" si="140"/>
        <v>243279.9723986873</v>
      </c>
      <c r="BS17" s="119">
        <f t="shared" si="141"/>
        <v>0</v>
      </c>
      <c r="BT17" s="73" t="s">
        <v>8</v>
      </c>
      <c r="BU17" s="27" t="s">
        <v>8</v>
      </c>
      <c r="BV17" s="32">
        <f t="shared" si="142"/>
        <v>0.53159067874698218</v>
      </c>
      <c r="BW17" s="30">
        <f t="shared" si="143"/>
        <v>3.233780322689217E-2</v>
      </c>
      <c r="BX17" s="50">
        <f t="shared" si="144"/>
        <v>243279.9723986873</v>
      </c>
      <c r="BY17" s="119">
        <f t="shared" si="145"/>
        <v>0</v>
      </c>
      <c r="BZ17" s="73" t="s">
        <v>8</v>
      </c>
      <c r="CA17" s="27" t="s">
        <v>8</v>
      </c>
      <c r="CB17" s="32">
        <f t="shared" si="146"/>
        <v>0.53159067874698218</v>
      </c>
      <c r="CC17" s="30">
        <f t="shared" si="147"/>
        <v>3.233780322689217E-2</v>
      </c>
      <c r="CD17" s="50">
        <f t="shared" si="148"/>
        <v>243279.9723986873</v>
      </c>
      <c r="CE17" s="119">
        <f t="shared" si="149"/>
        <v>0</v>
      </c>
      <c r="CF17" s="73" t="s">
        <v>8</v>
      </c>
      <c r="CG17" s="27" t="s">
        <v>8</v>
      </c>
      <c r="CH17" s="32">
        <f t="shared" si="150"/>
        <v>0.53159067874698218</v>
      </c>
      <c r="CI17" s="30">
        <f t="shared" si="151"/>
        <v>3.233780322689217E-2</v>
      </c>
      <c r="CJ17" s="50">
        <f t="shared" si="152"/>
        <v>243279.9723986873</v>
      </c>
      <c r="CK17" s="119">
        <f t="shared" si="153"/>
        <v>0</v>
      </c>
      <c r="CL17" s="73" t="s">
        <v>8</v>
      </c>
      <c r="CM17" s="27" t="s">
        <v>8</v>
      </c>
      <c r="CN17" s="32">
        <f t="shared" si="154"/>
        <v>0.53159067874698218</v>
      </c>
      <c r="CO17" s="30">
        <f t="shared" si="155"/>
        <v>3.233780322689217E-2</v>
      </c>
      <c r="CP17" s="50">
        <f t="shared" si="156"/>
        <v>243279.9723986873</v>
      </c>
      <c r="CQ17" s="119">
        <f t="shared" si="157"/>
        <v>0</v>
      </c>
      <c r="CR17" s="73" t="s">
        <v>8</v>
      </c>
      <c r="CS17" s="27" t="s">
        <v>8</v>
      </c>
      <c r="CT17" s="32">
        <f t="shared" si="158"/>
        <v>0.53159067874698218</v>
      </c>
      <c r="CU17" s="30">
        <f t="shared" si="159"/>
        <v>3.233780322689217E-2</v>
      </c>
      <c r="CV17" s="50">
        <f t="shared" si="160"/>
        <v>243279.9723986873</v>
      </c>
      <c r="CW17" s="119">
        <f t="shared" si="161"/>
        <v>0</v>
      </c>
      <c r="CX17" s="73" t="s">
        <v>8</v>
      </c>
      <c r="CY17" s="27" t="s">
        <v>8</v>
      </c>
      <c r="CZ17" s="32">
        <f t="shared" si="162"/>
        <v>0.53159067874698218</v>
      </c>
      <c r="DA17" s="30">
        <f t="shared" si="163"/>
        <v>3.233780322689217E-2</v>
      </c>
      <c r="DB17" s="50">
        <f t="shared" si="164"/>
        <v>243279.9723986873</v>
      </c>
      <c r="DC17" s="119">
        <f t="shared" si="165"/>
        <v>0</v>
      </c>
      <c r="DD17" s="73" t="s">
        <v>8</v>
      </c>
      <c r="DE17" s="27" t="s">
        <v>8</v>
      </c>
      <c r="DF17" s="32">
        <f t="shared" si="166"/>
        <v>0.53159067874698218</v>
      </c>
      <c r="DG17" s="30">
        <f t="shared" si="167"/>
        <v>3.233780322689217E-2</v>
      </c>
      <c r="DH17" s="50">
        <f t="shared" si="168"/>
        <v>243279.9723986873</v>
      </c>
      <c r="DI17" s="119">
        <f t="shared" si="169"/>
        <v>0</v>
      </c>
      <c r="DJ17" s="73" t="s">
        <v>8</v>
      </c>
      <c r="DK17" s="27" t="s">
        <v>8</v>
      </c>
      <c r="DL17" s="32">
        <f t="shared" si="170"/>
        <v>0.53159067874698218</v>
      </c>
      <c r="DM17" s="30">
        <f t="shared" si="171"/>
        <v>3.233780322689217E-2</v>
      </c>
      <c r="DN17" s="50">
        <f t="shared" si="172"/>
        <v>243279.9723986873</v>
      </c>
      <c r="DO17" s="119">
        <f t="shared" si="173"/>
        <v>0</v>
      </c>
      <c r="DP17" s="73" t="s">
        <v>8</v>
      </c>
      <c r="DQ17" s="27" t="s">
        <v>8</v>
      </c>
      <c r="DR17" s="32">
        <f t="shared" si="174"/>
        <v>0.53159067874698218</v>
      </c>
      <c r="DS17" s="30">
        <f t="shared" si="175"/>
        <v>3.233780322689217E-2</v>
      </c>
      <c r="DT17" s="50">
        <f t="shared" si="176"/>
        <v>243279.9723986873</v>
      </c>
      <c r="DU17" s="119">
        <f t="shared" si="177"/>
        <v>0</v>
      </c>
      <c r="DV17" s="73" t="s">
        <v>8</v>
      </c>
      <c r="DW17" s="27" t="s">
        <v>8</v>
      </c>
      <c r="DX17" s="32">
        <f t="shared" si="178"/>
        <v>0.53159067874698218</v>
      </c>
      <c r="DY17" s="30">
        <f t="shared" si="179"/>
        <v>3.233780322689217E-2</v>
      </c>
      <c r="DZ17" s="31">
        <f t="shared" si="180"/>
        <v>243279.9723986873</v>
      </c>
      <c r="EA17" s="77">
        <f t="shared" si="181"/>
        <v>0</v>
      </c>
      <c r="EB17" s="73" t="s">
        <v>8</v>
      </c>
      <c r="EC17" s="27" t="s">
        <v>8</v>
      </c>
      <c r="ED17" s="32">
        <f t="shared" si="182"/>
        <v>0.53159067874698218</v>
      </c>
      <c r="EE17" s="30">
        <f t="shared" si="183"/>
        <v>3.233780322689217E-2</v>
      </c>
      <c r="EF17" s="31">
        <f t="shared" si="184"/>
        <v>243279.9723986873</v>
      </c>
      <c r="EG17" s="77">
        <f t="shared" si="185"/>
        <v>0</v>
      </c>
      <c r="EH17" s="73" t="s">
        <v>8</v>
      </c>
      <c r="EI17" s="27" t="s">
        <v>8</v>
      </c>
      <c r="EJ17" s="32">
        <f t="shared" si="186"/>
        <v>0.53159067874698218</v>
      </c>
      <c r="EK17" s="30">
        <f t="shared" si="187"/>
        <v>3.233780322689217E-2</v>
      </c>
      <c r="EL17" s="31">
        <f t="shared" si="188"/>
        <v>243279.9723986873</v>
      </c>
      <c r="EM17" s="77">
        <f t="shared" si="189"/>
        <v>0</v>
      </c>
      <c r="EN17" s="73" t="s">
        <v>8</v>
      </c>
      <c r="EO17" s="27" t="s">
        <v>8</v>
      </c>
      <c r="EP17" s="32">
        <f t="shared" si="190"/>
        <v>0.53159067874698218</v>
      </c>
      <c r="EQ17" s="30">
        <f t="shared" si="191"/>
        <v>3.233780322689217E-2</v>
      </c>
      <c r="ER17" s="31">
        <f t="shared" si="192"/>
        <v>243279.9723986873</v>
      </c>
      <c r="ES17" s="77">
        <f t="shared" si="193"/>
        <v>0</v>
      </c>
      <c r="ET17" s="73" t="s">
        <v>8</v>
      </c>
      <c r="EU17" s="27" t="s">
        <v>8</v>
      </c>
      <c r="EV17" s="32">
        <f t="shared" si="194"/>
        <v>0.53159067874698218</v>
      </c>
      <c r="EW17" s="30">
        <f t="shared" si="195"/>
        <v>3.233780322689217E-2</v>
      </c>
      <c r="EX17" s="31">
        <f t="shared" si="196"/>
        <v>243279.9723986873</v>
      </c>
      <c r="EY17" s="77">
        <f t="shared" si="197"/>
        <v>0</v>
      </c>
      <c r="EZ17" s="73" t="s">
        <v>8</v>
      </c>
      <c r="FA17" s="27" t="s">
        <v>8</v>
      </c>
      <c r="FB17" s="32">
        <f t="shared" si="198"/>
        <v>0.53159067874698218</v>
      </c>
      <c r="FC17" s="30">
        <f t="shared" si="199"/>
        <v>3.233780322689217E-2</v>
      </c>
      <c r="FD17" s="31">
        <f t="shared" si="200"/>
        <v>243279.9723986873</v>
      </c>
      <c r="FE17" s="77">
        <f t="shared" si="201"/>
        <v>0</v>
      </c>
      <c r="FF17" s="73" t="s">
        <v>8</v>
      </c>
      <c r="FG17" s="27" t="s">
        <v>8</v>
      </c>
      <c r="FH17" s="32">
        <f t="shared" si="202"/>
        <v>0.53159067874698218</v>
      </c>
      <c r="FI17" s="30">
        <f t="shared" si="203"/>
        <v>3.233780322689217E-2</v>
      </c>
      <c r="FJ17" s="31">
        <f t="shared" si="204"/>
        <v>243279.9723986873</v>
      </c>
      <c r="FK17" s="77">
        <f t="shared" si="205"/>
        <v>0</v>
      </c>
      <c r="FL17" s="73" t="s">
        <v>8</v>
      </c>
      <c r="FM17" s="27" t="s">
        <v>8</v>
      </c>
      <c r="FN17" s="32">
        <f t="shared" si="206"/>
        <v>0.53159067874698218</v>
      </c>
      <c r="FO17" s="30">
        <f t="shared" si="207"/>
        <v>3.233780322689217E-2</v>
      </c>
      <c r="FP17" s="31">
        <f t="shared" si="208"/>
        <v>243279.9723986873</v>
      </c>
      <c r="FQ17" s="77">
        <f t="shared" si="209"/>
        <v>0</v>
      </c>
      <c r="FR17" s="73" t="s">
        <v>8</v>
      </c>
      <c r="FS17" s="27" t="s">
        <v>8</v>
      </c>
      <c r="FT17" s="32">
        <f t="shared" si="210"/>
        <v>0.53159067874698218</v>
      </c>
      <c r="FU17" s="30">
        <f t="shared" si="211"/>
        <v>3.233780322689217E-2</v>
      </c>
      <c r="FV17" s="31">
        <f t="shared" si="212"/>
        <v>243279.9723986873</v>
      </c>
      <c r="FW17" s="77">
        <f t="shared" si="213"/>
        <v>0</v>
      </c>
      <c r="FX17" s="73" t="s">
        <v>8</v>
      </c>
      <c r="FY17" s="27" t="s">
        <v>8</v>
      </c>
      <c r="FZ17" s="32">
        <f t="shared" si="214"/>
        <v>0.53159067874698218</v>
      </c>
      <c r="GA17" s="30">
        <f t="shared" si="215"/>
        <v>3.233780322689217E-2</v>
      </c>
      <c r="GB17" s="31">
        <f t="shared" si="216"/>
        <v>243279.9723986873</v>
      </c>
      <c r="GC17" s="77">
        <f t="shared" si="217"/>
        <v>0</v>
      </c>
      <c r="GD17" s="73" t="s">
        <v>8</v>
      </c>
      <c r="GE17" s="27" t="s">
        <v>8</v>
      </c>
      <c r="GF17" s="32">
        <f t="shared" si="218"/>
        <v>0.53159067874698218</v>
      </c>
      <c r="GG17" s="30">
        <f t="shared" si="219"/>
        <v>3.233780322689217E-2</v>
      </c>
      <c r="GH17" s="31">
        <f t="shared" si="220"/>
        <v>243279.9723986873</v>
      </c>
      <c r="GI17" s="119">
        <f t="shared" si="221"/>
        <v>0</v>
      </c>
      <c r="GJ17" s="156">
        <f t="shared" si="227"/>
        <v>1009114.7258824904</v>
      </c>
      <c r="GK17" s="92">
        <f t="shared" si="222"/>
        <v>1365913.1660937092</v>
      </c>
      <c r="GL17" s="207">
        <f t="shared" si="223"/>
        <v>0.53159067874698229</v>
      </c>
      <c r="GM17" s="219">
        <v>1365913.17</v>
      </c>
      <c r="GN17" s="216"/>
    </row>
    <row r="18" spans="1:196" s="22" customFormat="1" ht="18.75" x14ac:dyDescent="0.25">
      <c r="A18" s="190" t="s">
        <v>186</v>
      </c>
      <c r="B18" s="144" t="s">
        <v>8</v>
      </c>
      <c r="C18" s="144" t="s">
        <v>8</v>
      </c>
      <c r="D18" s="144" t="s">
        <v>8</v>
      </c>
      <c r="E18" s="144" t="s">
        <v>8</v>
      </c>
      <c r="F18" s="144" t="s">
        <v>8</v>
      </c>
      <c r="G18" s="101">
        <v>780</v>
      </c>
      <c r="H18" s="28">
        <f>'Исходные данные'!D20</f>
        <v>520539</v>
      </c>
      <c r="I18" s="29">
        <f>'Расчет КРП'!H18</f>
        <v>4.3704791352762173</v>
      </c>
      <c r="J18" s="108" t="s">
        <v>8</v>
      </c>
      <c r="K18" s="112">
        <f t="shared" si="104"/>
        <v>8.9654821034387142E-2</v>
      </c>
      <c r="L18" s="74">
        <f t="shared" si="105"/>
        <v>576196.23885041557</v>
      </c>
      <c r="M18" s="70">
        <f t="shared" si="224"/>
        <v>0.1888957437602943</v>
      </c>
      <c r="N18" s="27" t="s">
        <v>8</v>
      </c>
      <c r="O18" s="30">
        <f t="shared" si="228"/>
        <v>0.11767054799456575</v>
      </c>
      <c r="P18" s="31">
        <f t="shared" si="106"/>
        <v>979523.56804302731</v>
      </c>
      <c r="Q18" s="77">
        <f t="shared" si="107"/>
        <v>979523.56804302731</v>
      </c>
      <c r="R18" s="149" t="s">
        <v>8</v>
      </c>
      <c r="S18" s="27" t="s">
        <v>8</v>
      </c>
      <c r="T18" s="32">
        <f t="shared" si="225"/>
        <v>0.3576035835030647</v>
      </c>
      <c r="U18" s="30">
        <f t="shared" si="108"/>
        <v>3.7269650445311164E-2</v>
      </c>
      <c r="V18" s="50">
        <f t="shared" si="109"/>
        <v>354597.38998098252</v>
      </c>
      <c r="W18" s="77">
        <f t="shared" si="110"/>
        <v>354597.38998098252</v>
      </c>
      <c r="X18" s="73" t="s">
        <v>8</v>
      </c>
      <c r="Y18" s="27" t="s">
        <v>8</v>
      </c>
      <c r="Z18" s="32">
        <f t="shared" si="226"/>
        <v>0.41867751943871184</v>
      </c>
      <c r="AA18" s="30">
        <f t="shared" si="111"/>
        <v>5.451455323665727E-2</v>
      </c>
      <c r="AB18" s="50">
        <f t="shared" si="112"/>
        <v>577842.18518072425</v>
      </c>
      <c r="AC18" s="77">
        <f t="shared" si="113"/>
        <v>577842.18518072425</v>
      </c>
      <c r="AD18" s="73" t="s">
        <v>8</v>
      </c>
      <c r="AE18" s="27" t="s">
        <v>8</v>
      </c>
      <c r="AF18" s="32">
        <f t="shared" si="114"/>
        <v>0.51820193105531887</v>
      </c>
      <c r="AG18" s="30">
        <f t="shared" si="115"/>
        <v>2.4370798760218304E-2</v>
      </c>
      <c r="AH18" s="50">
        <f t="shared" si="116"/>
        <v>280439.92773062579</v>
      </c>
      <c r="AI18" s="77">
        <f t="shared" si="117"/>
        <v>103024.76909150656</v>
      </c>
      <c r="AJ18" s="73" t="s">
        <v>8</v>
      </c>
      <c r="AK18" s="27" t="s">
        <v>8</v>
      </c>
      <c r="AL18" s="32">
        <f t="shared" si="118"/>
        <v>0.53594635987815065</v>
      </c>
      <c r="AM18" s="30">
        <f t="shared" si="119"/>
        <v>2.7982122095723705E-2</v>
      </c>
      <c r="AN18" s="50">
        <f t="shared" si="120"/>
        <v>330241.55415147578</v>
      </c>
      <c r="AO18" s="77">
        <f t="shared" si="121"/>
        <v>0</v>
      </c>
      <c r="AP18" s="73" t="s">
        <v>8</v>
      </c>
      <c r="AQ18" s="27" t="s">
        <v>8</v>
      </c>
      <c r="AR18" s="32">
        <f t="shared" si="122"/>
        <v>0.53594635987815065</v>
      </c>
      <c r="AS18" s="30">
        <f t="shared" si="123"/>
        <v>2.7982122095723705E-2</v>
      </c>
      <c r="AT18" s="50">
        <f t="shared" si="124"/>
        <v>330241.55415147578</v>
      </c>
      <c r="AU18" s="77">
        <f t="shared" si="125"/>
        <v>0</v>
      </c>
      <c r="AV18" s="73" t="s">
        <v>8</v>
      </c>
      <c r="AW18" s="27" t="s">
        <v>8</v>
      </c>
      <c r="AX18" s="32">
        <f t="shared" si="126"/>
        <v>0.53594635987815065</v>
      </c>
      <c r="AY18" s="30">
        <f t="shared" si="127"/>
        <v>2.7982122095723705E-2</v>
      </c>
      <c r="AZ18" s="50">
        <f t="shared" si="128"/>
        <v>330241.55415147578</v>
      </c>
      <c r="BA18" s="77">
        <f t="shared" si="129"/>
        <v>0</v>
      </c>
      <c r="BB18" s="73" t="s">
        <v>8</v>
      </c>
      <c r="BC18" s="27" t="s">
        <v>8</v>
      </c>
      <c r="BD18" s="32">
        <f t="shared" si="130"/>
        <v>0.53594635987815065</v>
      </c>
      <c r="BE18" s="30">
        <f t="shared" si="131"/>
        <v>2.7982122095723705E-2</v>
      </c>
      <c r="BF18" s="50">
        <f t="shared" si="132"/>
        <v>330241.55415147578</v>
      </c>
      <c r="BG18" s="77">
        <f t="shared" si="133"/>
        <v>0</v>
      </c>
      <c r="BH18" s="73" t="s">
        <v>8</v>
      </c>
      <c r="BI18" s="27" t="s">
        <v>8</v>
      </c>
      <c r="BJ18" s="32">
        <f t="shared" si="134"/>
        <v>0.53594635987815065</v>
      </c>
      <c r="BK18" s="30">
        <f t="shared" si="135"/>
        <v>2.7982122095723705E-2</v>
      </c>
      <c r="BL18" s="50">
        <f t="shared" si="136"/>
        <v>330241.55415147578</v>
      </c>
      <c r="BM18" s="77">
        <f t="shared" si="137"/>
        <v>0</v>
      </c>
      <c r="BN18" s="73" t="s">
        <v>8</v>
      </c>
      <c r="BO18" s="27" t="s">
        <v>8</v>
      </c>
      <c r="BP18" s="32">
        <f t="shared" si="138"/>
        <v>0.53594635987815065</v>
      </c>
      <c r="BQ18" s="30">
        <f t="shared" si="139"/>
        <v>2.7982122095723705E-2</v>
      </c>
      <c r="BR18" s="50">
        <f t="shared" si="140"/>
        <v>330241.55415147578</v>
      </c>
      <c r="BS18" s="119">
        <f t="shared" si="141"/>
        <v>0</v>
      </c>
      <c r="BT18" s="73" t="s">
        <v>8</v>
      </c>
      <c r="BU18" s="27" t="s">
        <v>8</v>
      </c>
      <c r="BV18" s="32">
        <f t="shared" si="142"/>
        <v>0.53594635987815065</v>
      </c>
      <c r="BW18" s="30">
        <f t="shared" si="143"/>
        <v>2.7982122095723705E-2</v>
      </c>
      <c r="BX18" s="50">
        <f t="shared" si="144"/>
        <v>330241.55415147578</v>
      </c>
      <c r="BY18" s="119">
        <f t="shared" si="145"/>
        <v>0</v>
      </c>
      <c r="BZ18" s="73" t="s">
        <v>8</v>
      </c>
      <c r="CA18" s="27" t="s">
        <v>8</v>
      </c>
      <c r="CB18" s="32">
        <f t="shared" si="146"/>
        <v>0.53594635987815065</v>
      </c>
      <c r="CC18" s="30">
        <f t="shared" si="147"/>
        <v>2.7982122095723705E-2</v>
      </c>
      <c r="CD18" s="50">
        <f t="shared" si="148"/>
        <v>330241.55415147578</v>
      </c>
      <c r="CE18" s="119">
        <f t="shared" si="149"/>
        <v>0</v>
      </c>
      <c r="CF18" s="73" t="s">
        <v>8</v>
      </c>
      <c r="CG18" s="27" t="s">
        <v>8</v>
      </c>
      <c r="CH18" s="32">
        <f t="shared" si="150"/>
        <v>0.53594635987815065</v>
      </c>
      <c r="CI18" s="30">
        <f t="shared" si="151"/>
        <v>2.7982122095723705E-2</v>
      </c>
      <c r="CJ18" s="50">
        <f t="shared" si="152"/>
        <v>330241.55415147578</v>
      </c>
      <c r="CK18" s="119">
        <f t="shared" si="153"/>
        <v>0</v>
      </c>
      <c r="CL18" s="73" t="s">
        <v>8</v>
      </c>
      <c r="CM18" s="27" t="s">
        <v>8</v>
      </c>
      <c r="CN18" s="32">
        <f t="shared" si="154"/>
        <v>0.53594635987815065</v>
      </c>
      <c r="CO18" s="30">
        <f t="shared" si="155"/>
        <v>2.7982122095723705E-2</v>
      </c>
      <c r="CP18" s="50">
        <f t="shared" si="156"/>
        <v>330241.55415147578</v>
      </c>
      <c r="CQ18" s="119">
        <f t="shared" si="157"/>
        <v>0</v>
      </c>
      <c r="CR18" s="73" t="s">
        <v>8</v>
      </c>
      <c r="CS18" s="27" t="s">
        <v>8</v>
      </c>
      <c r="CT18" s="32">
        <f t="shared" si="158"/>
        <v>0.53594635987815065</v>
      </c>
      <c r="CU18" s="30">
        <f t="shared" si="159"/>
        <v>2.7982122095723705E-2</v>
      </c>
      <c r="CV18" s="50">
        <f t="shared" si="160"/>
        <v>330241.55415147578</v>
      </c>
      <c r="CW18" s="119">
        <f t="shared" si="161"/>
        <v>0</v>
      </c>
      <c r="CX18" s="73" t="s">
        <v>8</v>
      </c>
      <c r="CY18" s="27" t="s">
        <v>8</v>
      </c>
      <c r="CZ18" s="32">
        <f t="shared" si="162"/>
        <v>0.53594635987815065</v>
      </c>
      <c r="DA18" s="30">
        <f t="shared" si="163"/>
        <v>2.7982122095723705E-2</v>
      </c>
      <c r="DB18" s="50">
        <f t="shared" si="164"/>
        <v>330241.55415147578</v>
      </c>
      <c r="DC18" s="119">
        <f t="shared" si="165"/>
        <v>0</v>
      </c>
      <c r="DD18" s="73" t="s">
        <v>8</v>
      </c>
      <c r="DE18" s="27" t="s">
        <v>8</v>
      </c>
      <c r="DF18" s="32">
        <f t="shared" si="166"/>
        <v>0.53594635987815065</v>
      </c>
      <c r="DG18" s="30">
        <f t="shared" si="167"/>
        <v>2.7982122095723705E-2</v>
      </c>
      <c r="DH18" s="50">
        <f t="shared" si="168"/>
        <v>330241.55415147578</v>
      </c>
      <c r="DI18" s="119">
        <f t="shared" si="169"/>
        <v>0</v>
      </c>
      <c r="DJ18" s="73" t="s">
        <v>8</v>
      </c>
      <c r="DK18" s="27" t="s">
        <v>8</v>
      </c>
      <c r="DL18" s="32">
        <f t="shared" si="170"/>
        <v>0.53594635987815065</v>
      </c>
      <c r="DM18" s="30">
        <f t="shared" si="171"/>
        <v>2.7982122095723705E-2</v>
      </c>
      <c r="DN18" s="50">
        <f t="shared" si="172"/>
        <v>330241.55415147578</v>
      </c>
      <c r="DO18" s="119">
        <f t="shared" si="173"/>
        <v>0</v>
      </c>
      <c r="DP18" s="73" t="s">
        <v>8</v>
      </c>
      <c r="DQ18" s="27" t="s">
        <v>8</v>
      </c>
      <c r="DR18" s="32">
        <f t="shared" si="174"/>
        <v>0.53594635987815065</v>
      </c>
      <c r="DS18" s="30">
        <f t="shared" si="175"/>
        <v>2.7982122095723705E-2</v>
      </c>
      <c r="DT18" s="50">
        <f t="shared" si="176"/>
        <v>330241.55415147578</v>
      </c>
      <c r="DU18" s="119">
        <f t="shared" si="177"/>
        <v>0</v>
      </c>
      <c r="DV18" s="73" t="s">
        <v>8</v>
      </c>
      <c r="DW18" s="27" t="s">
        <v>8</v>
      </c>
      <c r="DX18" s="32">
        <f t="shared" si="178"/>
        <v>0.53594635987815065</v>
      </c>
      <c r="DY18" s="30">
        <f t="shared" si="179"/>
        <v>2.7982122095723705E-2</v>
      </c>
      <c r="DZ18" s="31">
        <f t="shared" si="180"/>
        <v>330241.55415147578</v>
      </c>
      <c r="EA18" s="77">
        <f t="shared" si="181"/>
        <v>0</v>
      </c>
      <c r="EB18" s="73" t="s">
        <v>8</v>
      </c>
      <c r="EC18" s="27" t="s">
        <v>8</v>
      </c>
      <c r="ED18" s="32">
        <f t="shared" si="182"/>
        <v>0.53594635987815065</v>
      </c>
      <c r="EE18" s="30">
        <f t="shared" si="183"/>
        <v>2.7982122095723705E-2</v>
      </c>
      <c r="EF18" s="31">
        <f t="shared" si="184"/>
        <v>330241.55415147578</v>
      </c>
      <c r="EG18" s="77">
        <f t="shared" si="185"/>
        <v>0</v>
      </c>
      <c r="EH18" s="73" t="s">
        <v>8</v>
      </c>
      <c r="EI18" s="27" t="s">
        <v>8</v>
      </c>
      <c r="EJ18" s="32">
        <f t="shared" si="186"/>
        <v>0.53594635987815065</v>
      </c>
      <c r="EK18" s="30">
        <f t="shared" si="187"/>
        <v>2.7982122095723705E-2</v>
      </c>
      <c r="EL18" s="31">
        <f t="shared" si="188"/>
        <v>330241.55415147578</v>
      </c>
      <c r="EM18" s="77">
        <f t="shared" si="189"/>
        <v>0</v>
      </c>
      <c r="EN18" s="73" t="s">
        <v>8</v>
      </c>
      <c r="EO18" s="27" t="s">
        <v>8</v>
      </c>
      <c r="EP18" s="32">
        <f t="shared" si="190"/>
        <v>0.53594635987815065</v>
      </c>
      <c r="EQ18" s="30">
        <f t="shared" si="191"/>
        <v>2.7982122095723705E-2</v>
      </c>
      <c r="ER18" s="31">
        <f t="shared" si="192"/>
        <v>330241.55415147578</v>
      </c>
      <c r="ES18" s="77">
        <f t="shared" si="193"/>
        <v>0</v>
      </c>
      <c r="ET18" s="73" t="s">
        <v>8</v>
      </c>
      <c r="EU18" s="27" t="s">
        <v>8</v>
      </c>
      <c r="EV18" s="32">
        <f t="shared" si="194"/>
        <v>0.53594635987815065</v>
      </c>
      <c r="EW18" s="30">
        <f t="shared" si="195"/>
        <v>2.7982122095723705E-2</v>
      </c>
      <c r="EX18" s="31">
        <f t="shared" si="196"/>
        <v>330241.55415147578</v>
      </c>
      <c r="EY18" s="77">
        <f t="shared" si="197"/>
        <v>0</v>
      </c>
      <c r="EZ18" s="73" t="s">
        <v>8</v>
      </c>
      <c r="FA18" s="27" t="s">
        <v>8</v>
      </c>
      <c r="FB18" s="32">
        <f t="shared" si="198"/>
        <v>0.53594635987815065</v>
      </c>
      <c r="FC18" s="30">
        <f t="shared" si="199"/>
        <v>2.7982122095723705E-2</v>
      </c>
      <c r="FD18" s="31">
        <f t="shared" si="200"/>
        <v>330241.55415147578</v>
      </c>
      <c r="FE18" s="77">
        <f t="shared" si="201"/>
        <v>0</v>
      </c>
      <c r="FF18" s="73" t="s">
        <v>8</v>
      </c>
      <c r="FG18" s="27" t="s">
        <v>8</v>
      </c>
      <c r="FH18" s="32">
        <f t="shared" si="202"/>
        <v>0.53594635987815065</v>
      </c>
      <c r="FI18" s="30">
        <f t="shared" si="203"/>
        <v>2.7982122095723705E-2</v>
      </c>
      <c r="FJ18" s="31">
        <f t="shared" si="204"/>
        <v>330241.55415147578</v>
      </c>
      <c r="FK18" s="77">
        <f t="shared" si="205"/>
        <v>0</v>
      </c>
      <c r="FL18" s="73" t="s">
        <v>8</v>
      </c>
      <c r="FM18" s="27" t="s">
        <v>8</v>
      </c>
      <c r="FN18" s="32">
        <f t="shared" si="206"/>
        <v>0.53594635987815065</v>
      </c>
      <c r="FO18" s="30">
        <f t="shared" si="207"/>
        <v>2.7982122095723705E-2</v>
      </c>
      <c r="FP18" s="31">
        <f t="shared" si="208"/>
        <v>330241.55415147578</v>
      </c>
      <c r="FQ18" s="77">
        <f t="shared" si="209"/>
        <v>0</v>
      </c>
      <c r="FR18" s="73" t="s">
        <v>8</v>
      </c>
      <c r="FS18" s="27" t="s">
        <v>8</v>
      </c>
      <c r="FT18" s="32">
        <f t="shared" si="210"/>
        <v>0.53594635987815065</v>
      </c>
      <c r="FU18" s="30">
        <f t="shared" si="211"/>
        <v>2.7982122095723705E-2</v>
      </c>
      <c r="FV18" s="31">
        <f t="shared" si="212"/>
        <v>330241.55415147578</v>
      </c>
      <c r="FW18" s="77">
        <f t="shared" si="213"/>
        <v>0</v>
      </c>
      <c r="FX18" s="73" t="s">
        <v>8</v>
      </c>
      <c r="FY18" s="27" t="s">
        <v>8</v>
      </c>
      <c r="FZ18" s="32">
        <f t="shared" si="214"/>
        <v>0.53594635987815065</v>
      </c>
      <c r="GA18" s="30">
        <f t="shared" si="215"/>
        <v>2.7982122095723705E-2</v>
      </c>
      <c r="GB18" s="31">
        <f t="shared" si="216"/>
        <v>330241.55415147578</v>
      </c>
      <c r="GC18" s="77">
        <f t="shared" si="217"/>
        <v>0</v>
      </c>
      <c r="GD18" s="73" t="s">
        <v>8</v>
      </c>
      <c r="GE18" s="27" t="s">
        <v>8</v>
      </c>
      <c r="GF18" s="32">
        <f t="shared" si="218"/>
        <v>0.53594635987815065</v>
      </c>
      <c r="GG18" s="30">
        <f t="shared" si="219"/>
        <v>2.7982122095723705E-2</v>
      </c>
      <c r="GH18" s="31">
        <f t="shared" si="220"/>
        <v>330241.55415147578</v>
      </c>
      <c r="GI18" s="119">
        <f t="shared" si="221"/>
        <v>0</v>
      </c>
      <c r="GJ18" s="156">
        <f t="shared" si="227"/>
        <v>2014987.9122962407</v>
      </c>
      <c r="GK18" s="92">
        <f t="shared" si="222"/>
        <v>2591184.1511466564</v>
      </c>
      <c r="GL18" s="207">
        <f t="shared" si="223"/>
        <v>0.53594635987815065</v>
      </c>
      <c r="GM18" s="219">
        <v>2591184.15</v>
      </c>
      <c r="GN18" s="216"/>
    </row>
    <row r="19" spans="1:196" s="22" customFormat="1" ht="18.75" x14ac:dyDescent="0.25">
      <c r="A19" s="190" t="s">
        <v>187</v>
      </c>
      <c r="B19" s="144" t="s">
        <v>8</v>
      </c>
      <c r="C19" s="144" t="s">
        <v>8</v>
      </c>
      <c r="D19" s="144" t="s">
        <v>8</v>
      </c>
      <c r="E19" s="144" t="s">
        <v>8</v>
      </c>
      <c r="F19" s="144" t="s">
        <v>8</v>
      </c>
      <c r="G19" s="101">
        <v>711</v>
      </c>
      <c r="H19" s="28">
        <f>'Исходные данные'!D21</f>
        <v>1090202</v>
      </c>
      <c r="I19" s="29">
        <f>'Расчет КРП'!H19</f>
        <v>4.6813040923429972</v>
      </c>
      <c r="J19" s="108" t="s">
        <v>8</v>
      </c>
      <c r="K19" s="112">
        <f t="shared" si="104"/>
        <v>0.19231561534304759</v>
      </c>
      <c r="L19" s="74">
        <f t="shared" si="105"/>
        <v>525225.03310595569</v>
      </c>
      <c r="M19" s="70">
        <f t="shared" si="224"/>
        <v>0.28496722984691425</v>
      </c>
      <c r="N19" s="27" t="s">
        <v>8</v>
      </c>
      <c r="O19" s="30">
        <f t="shared" si="228"/>
        <v>2.1599061907945805E-2</v>
      </c>
      <c r="P19" s="31">
        <f t="shared" si="106"/>
        <v>175547.56237087338</v>
      </c>
      <c r="Q19" s="77">
        <f t="shared" si="107"/>
        <v>175547.56237087338</v>
      </c>
      <c r="R19" s="149" t="s">
        <v>8</v>
      </c>
      <c r="S19" s="27" t="s">
        <v>8</v>
      </c>
      <c r="T19" s="32">
        <f t="shared" si="225"/>
        <v>0.3159344611300402</v>
      </c>
      <c r="U19" s="30">
        <f t="shared" si="108"/>
        <v>7.8938772818335667E-2</v>
      </c>
      <c r="V19" s="50">
        <f t="shared" si="109"/>
        <v>733302.87187020318</v>
      </c>
      <c r="W19" s="77">
        <f t="shared" si="110"/>
        <v>733302.87187020318</v>
      </c>
      <c r="X19" s="73" t="s">
        <v>8</v>
      </c>
      <c r="Y19" s="27" t="s">
        <v>8</v>
      </c>
      <c r="Z19" s="32">
        <f t="shared" si="226"/>
        <v>0.44529176650697239</v>
      </c>
      <c r="AA19" s="30">
        <f t="shared" si="111"/>
        <v>2.7900306168396727E-2</v>
      </c>
      <c r="AB19" s="50">
        <f t="shared" si="112"/>
        <v>288747.71501441393</v>
      </c>
      <c r="AC19" s="77">
        <f t="shared" si="113"/>
        <v>288747.71501441393</v>
      </c>
      <c r="AD19" s="73" t="s">
        <v>8</v>
      </c>
      <c r="AE19" s="27" t="s">
        <v>8</v>
      </c>
      <c r="AF19" s="32">
        <f t="shared" si="114"/>
        <v>0.49622791824022544</v>
      </c>
      <c r="AG19" s="30">
        <f t="shared" si="115"/>
        <v>4.6344811575311728E-2</v>
      </c>
      <c r="AH19" s="50">
        <f t="shared" si="116"/>
        <v>520695.7151908527</v>
      </c>
      <c r="AI19" s="77">
        <f t="shared" si="117"/>
        <v>191287.15464511988</v>
      </c>
      <c r="AJ19" s="73" t="s">
        <v>8</v>
      </c>
      <c r="AK19" s="27" t="s">
        <v>8</v>
      </c>
      <c r="AL19" s="32">
        <f t="shared" si="118"/>
        <v>0.52997167109776633</v>
      </c>
      <c r="AM19" s="30">
        <f t="shared" si="119"/>
        <v>3.3956810876108023E-2</v>
      </c>
      <c r="AN19" s="50">
        <f t="shared" si="120"/>
        <v>391282.80950525706</v>
      </c>
      <c r="AO19" s="77">
        <f t="shared" si="121"/>
        <v>0</v>
      </c>
      <c r="AP19" s="73" t="s">
        <v>8</v>
      </c>
      <c r="AQ19" s="27" t="s">
        <v>8</v>
      </c>
      <c r="AR19" s="32">
        <f t="shared" si="122"/>
        <v>0.52997167109776633</v>
      </c>
      <c r="AS19" s="30">
        <f t="shared" si="123"/>
        <v>3.3956810876108023E-2</v>
      </c>
      <c r="AT19" s="50">
        <f t="shared" si="124"/>
        <v>391282.80950525706</v>
      </c>
      <c r="AU19" s="77">
        <f t="shared" si="125"/>
        <v>0</v>
      </c>
      <c r="AV19" s="73" t="s">
        <v>8</v>
      </c>
      <c r="AW19" s="27" t="s">
        <v>8</v>
      </c>
      <c r="AX19" s="32">
        <f t="shared" si="126"/>
        <v>0.52997167109776633</v>
      </c>
      <c r="AY19" s="30">
        <f t="shared" si="127"/>
        <v>3.3956810876108023E-2</v>
      </c>
      <c r="AZ19" s="50">
        <f t="shared" si="128"/>
        <v>391282.80950525706</v>
      </c>
      <c r="BA19" s="77">
        <f t="shared" si="129"/>
        <v>0</v>
      </c>
      <c r="BB19" s="73" t="s">
        <v>8</v>
      </c>
      <c r="BC19" s="27" t="s">
        <v>8</v>
      </c>
      <c r="BD19" s="32">
        <f t="shared" si="130"/>
        <v>0.52997167109776633</v>
      </c>
      <c r="BE19" s="30">
        <f t="shared" si="131"/>
        <v>3.3956810876108023E-2</v>
      </c>
      <c r="BF19" s="50">
        <f t="shared" si="132"/>
        <v>391282.80950525706</v>
      </c>
      <c r="BG19" s="77">
        <f t="shared" si="133"/>
        <v>0</v>
      </c>
      <c r="BH19" s="73" t="s">
        <v>8</v>
      </c>
      <c r="BI19" s="27" t="s">
        <v>8</v>
      </c>
      <c r="BJ19" s="32">
        <f t="shared" si="134"/>
        <v>0.52997167109776633</v>
      </c>
      <c r="BK19" s="30">
        <f t="shared" si="135"/>
        <v>3.3956810876108023E-2</v>
      </c>
      <c r="BL19" s="50">
        <f t="shared" si="136"/>
        <v>391282.80950525706</v>
      </c>
      <c r="BM19" s="77">
        <f t="shared" si="137"/>
        <v>0</v>
      </c>
      <c r="BN19" s="73" t="s">
        <v>8</v>
      </c>
      <c r="BO19" s="27" t="s">
        <v>8</v>
      </c>
      <c r="BP19" s="32">
        <f t="shared" si="138"/>
        <v>0.52997167109776633</v>
      </c>
      <c r="BQ19" s="30">
        <f t="shared" si="139"/>
        <v>3.3956810876108023E-2</v>
      </c>
      <c r="BR19" s="50">
        <f t="shared" si="140"/>
        <v>391282.80950525706</v>
      </c>
      <c r="BS19" s="119">
        <f t="shared" si="141"/>
        <v>0</v>
      </c>
      <c r="BT19" s="73" t="s">
        <v>8</v>
      </c>
      <c r="BU19" s="27" t="s">
        <v>8</v>
      </c>
      <c r="BV19" s="32">
        <f t="shared" si="142"/>
        <v>0.52997167109776633</v>
      </c>
      <c r="BW19" s="30">
        <f t="shared" si="143"/>
        <v>3.3956810876108023E-2</v>
      </c>
      <c r="BX19" s="50">
        <f t="shared" si="144"/>
        <v>391282.80950525706</v>
      </c>
      <c r="BY19" s="119">
        <f t="shared" si="145"/>
        <v>0</v>
      </c>
      <c r="BZ19" s="73" t="s">
        <v>8</v>
      </c>
      <c r="CA19" s="27" t="s">
        <v>8</v>
      </c>
      <c r="CB19" s="32">
        <f t="shared" si="146"/>
        <v>0.52997167109776633</v>
      </c>
      <c r="CC19" s="30">
        <f t="shared" si="147"/>
        <v>3.3956810876108023E-2</v>
      </c>
      <c r="CD19" s="50">
        <f t="shared" si="148"/>
        <v>391282.80950525706</v>
      </c>
      <c r="CE19" s="119">
        <f t="shared" si="149"/>
        <v>0</v>
      </c>
      <c r="CF19" s="73" t="s">
        <v>8</v>
      </c>
      <c r="CG19" s="27" t="s">
        <v>8</v>
      </c>
      <c r="CH19" s="32">
        <f t="shared" si="150"/>
        <v>0.52997167109776633</v>
      </c>
      <c r="CI19" s="30">
        <f t="shared" si="151"/>
        <v>3.3956810876108023E-2</v>
      </c>
      <c r="CJ19" s="50">
        <f t="shared" si="152"/>
        <v>391282.80950525706</v>
      </c>
      <c r="CK19" s="119">
        <f t="shared" si="153"/>
        <v>0</v>
      </c>
      <c r="CL19" s="73" t="s">
        <v>8</v>
      </c>
      <c r="CM19" s="27" t="s">
        <v>8</v>
      </c>
      <c r="CN19" s="32">
        <f t="shared" si="154"/>
        <v>0.52997167109776633</v>
      </c>
      <c r="CO19" s="30">
        <f t="shared" si="155"/>
        <v>3.3956810876108023E-2</v>
      </c>
      <c r="CP19" s="50">
        <f t="shared" si="156"/>
        <v>391282.80950525706</v>
      </c>
      <c r="CQ19" s="119">
        <f t="shared" si="157"/>
        <v>0</v>
      </c>
      <c r="CR19" s="73" t="s">
        <v>8</v>
      </c>
      <c r="CS19" s="27" t="s">
        <v>8</v>
      </c>
      <c r="CT19" s="32">
        <f t="shared" si="158"/>
        <v>0.52997167109776633</v>
      </c>
      <c r="CU19" s="30">
        <f t="shared" si="159"/>
        <v>3.3956810876108023E-2</v>
      </c>
      <c r="CV19" s="50">
        <f t="shared" si="160"/>
        <v>391282.80950525706</v>
      </c>
      <c r="CW19" s="119">
        <f t="shared" si="161"/>
        <v>0</v>
      </c>
      <c r="CX19" s="73" t="s">
        <v>8</v>
      </c>
      <c r="CY19" s="27" t="s">
        <v>8</v>
      </c>
      <c r="CZ19" s="32">
        <f t="shared" si="162"/>
        <v>0.52997167109776633</v>
      </c>
      <c r="DA19" s="30">
        <f t="shared" si="163"/>
        <v>3.3956810876108023E-2</v>
      </c>
      <c r="DB19" s="50">
        <f t="shared" si="164"/>
        <v>391282.80950525706</v>
      </c>
      <c r="DC19" s="119">
        <f t="shared" si="165"/>
        <v>0</v>
      </c>
      <c r="DD19" s="73" t="s">
        <v>8</v>
      </c>
      <c r="DE19" s="27" t="s">
        <v>8</v>
      </c>
      <c r="DF19" s="32">
        <f t="shared" si="166"/>
        <v>0.52997167109776633</v>
      </c>
      <c r="DG19" s="30">
        <f t="shared" si="167"/>
        <v>3.3956810876108023E-2</v>
      </c>
      <c r="DH19" s="50">
        <f t="shared" si="168"/>
        <v>391282.80950525706</v>
      </c>
      <c r="DI19" s="119">
        <f t="shared" si="169"/>
        <v>0</v>
      </c>
      <c r="DJ19" s="73" t="s">
        <v>8</v>
      </c>
      <c r="DK19" s="27" t="s">
        <v>8</v>
      </c>
      <c r="DL19" s="32">
        <f t="shared" si="170"/>
        <v>0.52997167109776633</v>
      </c>
      <c r="DM19" s="30">
        <f t="shared" si="171"/>
        <v>3.3956810876108023E-2</v>
      </c>
      <c r="DN19" s="50">
        <f t="shared" si="172"/>
        <v>391282.80950525706</v>
      </c>
      <c r="DO19" s="119">
        <f t="shared" si="173"/>
        <v>0</v>
      </c>
      <c r="DP19" s="73" t="s">
        <v>8</v>
      </c>
      <c r="DQ19" s="27" t="s">
        <v>8</v>
      </c>
      <c r="DR19" s="32">
        <f t="shared" si="174"/>
        <v>0.52997167109776633</v>
      </c>
      <c r="DS19" s="30">
        <f t="shared" si="175"/>
        <v>3.3956810876108023E-2</v>
      </c>
      <c r="DT19" s="50">
        <f t="shared" si="176"/>
        <v>391282.80950525706</v>
      </c>
      <c r="DU19" s="119">
        <f t="shared" si="177"/>
        <v>0</v>
      </c>
      <c r="DV19" s="73" t="s">
        <v>8</v>
      </c>
      <c r="DW19" s="27" t="s">
        <v>8</v>
      </c>
      <c r="DX19" s="32">
        <f t="shared" si="178"/>
        <v>0.52997167109776633</v>
      </c>
      <c r="DY19" s="30">
        <f t="shared" si="179"/>
        <v>3.3956810876108023E-2</v>
      </c>
      <c r="DZ19" s="31">
        <f t="shared" si="180"/>
        <v>391282.80950525706</v>
      </c>
      <c r="EA19" s="77">
        <f t="shared" si="181"/>
        <v>0</v>
      </c>
      <c r="EB19" s="73" t="s">
        <v>8</v>
      </c>
      <c r="EC19" s="27" t="s">
        <v>8</v>
      </c>
      <c r="ED19" s="32">
        <f t="shared" si="182"/>
        <v>0.52997167109776633</v>
      </c>
      <c r="EE19" s="30">
        <f t="shared" si="183"/>
        <v>3.3956810876108023E-2</v>
      </c>
      <c r="EF19" s="31">
        <f t="shared" si="184"/>
        <v>391282.80950525706</v>
      </c>
      <c r="EG19" s="77">
        <f t="shared" si="185"/>
        <v>0</v>
      </c>
      <c r="EH19" s="73" t="s">
        <v>8</v>
      </c>
      <c r="EI19" s="27" t="s">
        <v>8</v>
      </c>
      <c r="EJ19" s="32">
        <f t="shared" si="186"/>
        <v>0.52997167109776633</v>
      </c>
      <c r="EK19" s="30">
        <f t="shared" si="187"/>
        <v>3.3956810876108023E-2</v>
      </c>
      <c r="EL19" s="31">
        <f t="shared" si="188"/>
        <v>391282.80950525706</v>
      </c>
      <c r="EM19" s="77">
        <f t="shared" si="189"/>
        <v>0</v>
      </c>
      <c r="EN19" s="73" t="s">
        <v>8</v>
      </c>
      <c r="EO19" s="27" t="s">
        <v>8</v>
      </c>
      <c r="EP19" s="32">
        <f t="shared" si="190"/>
        <v>0.52997167109776633</v>
      </c>
      <c r="EQ19" s="30">
        <f t="shared" si="191"/>
        <v>3.3956810876108023E-2</v>
      </c>
      <c r="ER19" s="31">
        <f t="shared" si="192"/>
        <v>391282.80950525706</v>
      </c>
      <c r="ES19" s="77">
        <f t="shared" si="193"/>
        <v>0</v>
      </c>
      <c r="ET19" s="73" t="s">
        <v>8</v>
      </c>
      <c r="EU19" s="27" t="s">
        <v>8</v>
      </c>
      <c r="EV19" s="32">
        <f t="shared" si="194"/>
        <v>0.52997167109776633</v>
      </c>
      <c r="EW19" s="30">
        <f t="shared" si="195"/>
        <v>3.3956810876108023E-2</v>
      </c>
      <c r="EX19" s="31">
        <f t="shared" si="196"/>
        <v>391282.80950525706</v>
      </c>
      <c r="EY19" s="77">
        <f t="shared" si="197"/>
        <v>0</v>
      </c>
      <c r="EZ19" s="73" t="s">
        <v>8</v>
      </c>
      <c r="FA19" s="27" t="s">
        <v>8</v>
      </c>
      <c r="FB19" s="32">
        <f t="shared" si="198"/>
        <v>0.52997167109776633</v>
      </c>
      <c r="FC19" s="30">
        <f t="shared" si="199"/>
        <v>3.3956810876108023E-2</v>
      </c>
      <c r="FD19" s="31">
        <f t="shared" si="200"/>
        <v>391282.80950525706</v>
      </c>
      <c r="FE19" s="77">
        <f t="shared" si="201"/>
        <v>0</v>
      </c>
      <c r="FF19" s="73" t="s">
        <v>8</v>
      </c>
      <c r="FG19" s="27" t="s">
        <v>8</v>
      </c>
      <c r="FH19" s="32">
        <f t="shared" si="202"/>
        <v>0.52997167109776633</v>
      </c>
      <c r="FI19" s="30">
        <f t="shared" si="203"/>
        <v>3.3956810876108023E-2</v>
      </c>
      <c r="FJ19" s="31">
        <f t="shared" si="204"/>
        <v>391282.80950525706</v>
      </c>
      <c r="FK19" s="77">
        <f t="shared" si="205"/>
        <v>0</v>
      </c>
      <c r="FL19" s="73" t="s">
        <v>8</v>
      </c>
      <c r="FM19" s="27" t="s">
        <v>8</v>
      </c>
      <c r="FN19" s="32">
        <f t="shared" si="206"/>
        <v>0.52997167109776633</v>
      </c>
      <c r="FO19" s="30">
        <f t="shared" si="207"/>
        <v>3.3956810876108023E-2</v>
      </c>
      <c r="FP19" s="31">
        <f t="shared" si="208"/>
        <v>391282.80950525706</v>
      </c>
      <c r="FQ19" s="77">
        <f t="shared" si="209"/>
        <v>0</v>
      </c>
      <c r="FR19" s="73" t="s">
        <v>8</v>
      </c>
      <c r="FS19" s="27" t="s">
        <v>8</v>
      </c>
      <c r="FT19" s="32">
        <f t="shared" si="210"/>
        <v>0.52997167109776633</v>
      </c>
      <c r="FU19" s="30">
        <f t="shared" si="211"/>
        <v>3.3956810876108023E-2</v>
      </c>
      <c r="FV19" s="31">
        <f t="shared" si="212"/>
        <v>391282.80950525706</v>
      </c>
      <c r="FW19" s="77">
        <f t="shared" si="213"/>
        <v>0</v>
      </c>
      <c r="FX19" s="73" t="s">
        <v>8</v>
      </c>
      <c r="FY19" s="27" t="s">
        <v>8</v>
      </c>
      <c r="FZ19" s="32">
        <f t="shared" si="214"/>
        <v>0.52997167109776633</v>
      </c>
      <c r="GA19" s="30">
        <f t="shared" si="215"/>
        <v>3.3956810876108023E-2</v>
      </c>
      <c r="GB19" s="31">
        <f t="shared" si="216"/>
        <v>391282.80950525706</v>
      </c>
      <c r="GC19" s="77">
        <f t="shared" si="217"/>
        <v>0</v>
      </c>
      <c r="GD19" s="73" t="s">
        <v>8</v>
      </c>
      <c r="GE19" s="27" t="s">
        <v>8</v>
      </c>
      <c r="GF19" s="32">
        <f t="shared" si="218"/>
        <v>0.52997167109776633</v>
      </c>
      <c r="GG19" s="30">
        <f t="shared" si="219"/>
        <v>3.3956810876108023E-2</v>
      </c>
      <c r="GH19" s="31">
        <f t="shared" si="220"/>
        <v>391282.80950525706</v>
      </c>
      <c r="GI19" s="119">
        <f t="shared" si="221"/>
        <v>0</v>
      </c>
      <c r="GJ19" s="156">
        <f t="shared" si="227"/>
        <v>1388885.3039006102</v>
      </c>
      <c r="GK19" s="92">
        <f t="shared" si="222"/>
        <v>1914110.3370065659</v>
      </c>
      <c r="GL19" s="207">
        <f t="shared" si="223"/>
        <v>0.52997167109776633</v>
      </c>
      <c r="GM19" s="219">
        <v>1914110.34</v>
      </c>
      <c r="GN19" s="216"/>
    </row>
    <row r="20" spans="1:196" s="22" customFormat="1" ht="15.75" customHeight="1" x14ac:dyDescent="0.25">
      <c r="A20" s="190" t="s">
        <v>188</v>
      </c>
      <c r="B20" s="144" t="s">
        <v>8</v>
      </c>
      <c r="C20" s="144" t="s">
        <v>8</v>
      </c>
      <c r="D20" s="144" t="s">
        <v>8</v>
      </c>
      <c r="E20" s="144" t="s">
        <v>8</v>
      </c>
      <c r="F20" s="144" t="s">
        <v>8</v>
      </c>
      <c r="G20" s="101">
        <v>217</v>
      </c>
      <c r="H20" s="28">
        <f>'Исходные данные'!D22</f>
        <v>447440</v>
      </c>
      <c r="I20" s="29">
        <f>'Расчет КРП'!H20</f>
        <v>4.6883085598369654</v>
      </c>
      <c r="J20" s="108" t="s">
        <v>8</v>
      </c>
      <c r="K20" s="112">
        <f t="shared" si="104"/>
        <v>0.25822775171081103</v>
      </c>
      <c r="L20" s="74">
        <f t="shared" si="105"/>
        <v>160300.74850069251</v>
      </c>
      <c r="M20" s="70">
        <f t="shared" si="224"/>
        <v>0.35074094204447359</v>
      </c>
      <c r="N20" s="27" t="s">
        <v>8</v>
      </c>
      <c r="O20" s="30">
        <f t="shared" si="228"/>
        <v>-4.4174650289613537E-2</v>
      </c>
      <c r="P20" s="31">
        <f t="shared" si="106"/>
        <v>0</v>
      </c>
      <c r="Q20" s="77">
        <f t="shared" si="107"/>
        <v>0</v>
      </c>
      <c r="R20" s="149" t="s">
        <v>8</v>
      </c>
      <c r="S20" s="27" t="s">
        <v>8</v>
      </c>
      <c r="T20" s="32">
        <f t="shared" si="225"/>
        <v>0.35074094204447359</v>
      </c>
      <c r="U20" s="30">
        <f t="shared" si="108"/>
        <v>4.4132291903902277E-2</v>
      </c>
      <c r="V20" s="50">
        <f t="shared" si="109"/>
        <v>125310.93315333535</v>
      </c>
      <c r="W20" s="77">
        <f t="shared" si="110"/>
        <v>125310.93315333535</v>
      </c>
      <c r="X20" s="73" t="s">
        <v>8</v>
      </c>
      <c r="Y20" s="27" t="s">
        <v>8</v>
      </c>
      <c r="Z20" s="32">
        <f t="shared" si="226"/>
        <v>0.42306071795402456</v>
      </c>
      <c r="AA20" s="30">
        <f t="shared" si="111"/>
        <v>5.0131354721344557E-2</v>
      </c>
      <c r="AB20" s="50">
        <f t="shared" si="112"/>
        <v>158583.68111594513</v>
      </c>
      <c r="AC20" s="77">
        <f t="shared" si="113"/>
        <v>158583.68111594513</v>
      </c>
      <c r="AD20" s="73" t="s">
        <v>8</v>
      </c>
      <c r="AE20" s="27" t="s">
        <v>8</v>
      </c>
      <c r="AF20" s="32">
        <f t="shared" si="114"/>
        <v>0.51458294983448838</v>
      </c>
      <c r="AG20" s="30">
        <f t="shared" si="115"/>
        <v>2.798977998104879E-2</v>
      </c>
      <c r="AH20" s="50">
        <f t="shared" si="116"/>
        <v>96121.786615683639</v>
      </c>
      <c r="AI20" s="77">
        <f t="shared" si="117"/>
        <v>35312.107483696273</v>
      </c>
      <c r="AJ20" s="73" t="s">
        <v>8</v>
      </c>
      <c r="AK20" s="27" t="s">
        <v>8</v>
      </c>
      <c r="AL20" s="32">
        <f t="shared" si="118"/>
        <v>0.53496236634549632</v>
      </c>
      <c r="AM20" s="30">
        <f t="shared" si="119"/>
        <v>2.8966115628378031E-2</v>
      </c>
      <c r="AN20" s="50">
        <f t="shared" si="120"/>
        <v>102021.94503485948</v>
      </c>
      <c r="AO20" s="77">
        <f t="shared" si="121"/>
        <v>0</v>
      </c>
      <c r="AP20" s="73" t="s">
        <v>8</v>
      </c>
      <c r="AQ20" s="27" t="s">
        <v>8</v>
      </c>
      <c r="AR20" s="32">
        <f t="shared" si="122"/>
        <v>0.53496236634549632</v>
      </c>
      <c r="AS20" s="30">
        <f t="shared" si="123"/>
        <v>2.8966115628378031E-2</v>
      </c>
      <c r="AT20" s="50">
        <f t="shared" si="124"/>
        <v>102021.94503485948</v>
      </c>
      <c r="AU20" s="77">
        <f t="shared" si="125"/>
        <v>0</v>
      </c>
      <c r="AV20" s="73" t="s">
        <v>8</v>
      </c>
      <c r="AW20" s="27" t="s">
        <v>8</v>
      </c>
      <c r="AX20" s="32">
        <f t="shared" si="126"/>
        <v>0.53496236634549632</v>
      </c>
      <c r="AY20" s="30">
        <f t="shared" si="127"/>
        <v>2.8966115628378031E-2</v>
      </c>
      <c r="AZ20" s="50">
        <f t="shared" si="128"/>
        <v>102021.94503485948</v>
      </c>
      <c r="BA20" s="77">
        <f t="shared" si="129"/>
        <v>0</v>
      </c>
      <c r="BB20" s="73" t="s">
        <v>8</v>
      </c>
      <c r="BC20" s="27" t="s">
        <v>8</v>
      </c>
      <c r="BD20" s="32">
        <f t="shared" si="130"/>
        <v>0.53496236634549632</v>
      </c>
      <c r="BE20" s="30">
        <f t="shared" si="131"/>
        <v>2.8966115628378031E-2</v>
      </c>
      <c r="BF20" s="50">
        <f t="shared" si="132"/>
        <v>102021.94503485948</v>
      </c>
      <c r="BG20" s="77">
        <f t="shared" si="133"/>
        <v>0</v>
      </c>
      <c r="BH20" s="73" t="s">
        <v>8</v>
      </c>
      <c r="BI20" s="27" t="s">
        <v>8</v>
      </c>
      <c r="BJ20" s="32">
        <f t="shared" si="134"/>
        <v>0.53496236634549632</v>
      </c>
      <c r="BK20" s="30">
        <f t="shared" si="135"/>
        <v>2.8966115628378031E-2</v>
      </c>
      <c r="BL20" s="50">
        <f t="shared" si="136"/>
        <v>102021.94503485948</v>
      </c>
      <c r="BM20" s="77">
        <f t="shared" si="137"/>
        <v>0</v>
      </c>
      <c r="BN20" s="73" t="s">
        <v>8</v>
      </c>
      <c r="BO20" s="27" t="s">
        <v>8</v>
      </c>
      <c r="BP20" s="32">
        <f t="shared" si="138"/>
        <v>0.53496236634549632</v>
      </c>
      <c r="BQ20" s="30">
        <f t="shared" si="139"/>
        <v>2.8966115628378031E-2</v>
      </c>
      <c r="BR20" s="50">
        <f t="shared" si="140"/>
        <v>102021.94503485948</v>
      </c>
      <c r="BS20" s="119">
        <f t="shared" si="141"/>
        <v>0</v>
      </c>
      <c r="BT20" s="73" t="s">
        <v>8</v>
      </c>
      <c r="BU20" s="27" t="s">
        <v>8</v>
      </c>
      <c r="BV20" s="32">
        <f t="shared" si="142"/>
        <v>0.53496236634549632</v>
      </c>
      <c r="BW20" s="30">
        <f t="shared" si="143"/>
        <v>2.8966115628378031E-2</v>
      </c>
      <c r="BX20" s="50">
        <f t="shared" si="144"/>
        <v>102021.94503485948</v>
      </c>
      <c r="BY20" s="119">
        <f t="shared" si="145"/>
        <v>0</v>
      </c>
      <c r="BZ20" s="73" t="s">
        <v>8</v>
      </c>
      <c r="CA20" s="27" t="s">
        <v>8</v>
      </c>
      <c r="CB20" s="32">
        <f t="shared" si="146"/>
        <v>0.53496236634549632</v>
      </c>
      <c r="CC20" s="30">
        <f t="shared" si="147"/>
        <v>2.8966115628378031E-2</v>
      </c>
      <c r="CD20" s="50">
        <f t="shared" si="148"/>
        <v>102021.94503485948</v>
      </c>
      <c r="CE20" s="119">
        <f t="shared" si="149"/>
        <v>0</v>
      </c>
      <c r="CF20" s="73" t="s">
        <v>8</v>
      </c>
      <c r="CG20" s="27" t="s">
        <v>8</v>
      </c>
      <c r="CH20" s="32">
        <f t="shared" si="150"/>
        <v>0.53496236634549632</v>
      </c>
      <c r="CI20" s="30">
        <f t="shared" si="151"/>
        <v>2.8966115628378031E-2</v>
      </c>
      <c r="CJ20" s="50">
        <f t="shared" si="152"/>
        <v>102021.94503485948</v>
      </c>
      <c r="CK20" s="119">
        <f t="shared" si="153"/>
        <v>0</v>
      </c>
      <c r="CL20" s="73" t="s">
        <v>8</v>
      </c>
      <c r="CM20" s="27" t="s">
        <v>8</v>
      </c>
      <c r="CN20" s="32">
        <f t="shared" si="154"/>
        <v>0.53496236634549632</v>
      </c>
      <c r="CO20" s="30">
        <f t="shared" si="155"/>
        <v>2.8966115628378031E-2</v>
      </c>
      <c r="CP20" s="50">
        <f t="shared" si="156"/>
        <v>102021.94503485948</v>
      </c>
      <c r="CQ20" s="119">
        <f t="shared" si="157"/>
        <v>0</v>
      </c>
      <c r="CR20" s="73" t="s">
        <v>8</v>
      </c>
      <c r="CS20" s="27" t="s">
        <v>8</v>
      </c>
      <c r="CT20" s="32">
        <f t="shared" si="158"/>
        <v>0.53496236634549632</v>
      </c>
      <c r="CU20" s="30">
        <f t="shared" si="159"/>
        <v>2.8966115628378031E-2</v>
      </c>
      <c r="CV20" s="50">
        <f t="shared" si="160"/>
        <v>102021.94503485948</v>
      </c>
      <c r="CW20" s="119">
        <f t="shared" si="161"/>
        <v>0</v>
      </c>
      <c r="CX20" s="73" t="s">
        <v>8</v>
      </c>
      <c r="CY20" s="27" t="s">
        <v>8</v>
      </c>
      <c r="CZ20" s="32">
        <f t="shared" si="162"/>
        <v>0.53496236634549632</v>
      </c>
      <c r="DA20" s="30">
        <f t="shared" si="163"/>
        <v>2.8966115628378031E-2</v>
      </c>
      <c r="DB20" s="50">
        <f t="shared" si="164"/>
        <v>102021.94503485948</v>
      </c>
      <c r="DC20" s="119">
        <f t="shared" si="165"/>
        <v>0</v>
      </c>
      <c r="DD20" s="73" t="s">
        <v>8</v>
      </c>
      <c r="DE20" s="27" t="s">
        <v>8</v>
      </c>
      <c r="DF20" s="32">
        <f t="shared" si="166"/>
        <v>0.53496236634549632</v>
      </c>
      <c r="DG20" s="30">
        <f t="shared" si="167"/>
        <v>2.8966115628378031E-2</v>
      </c>
      <c r="DH20" s="50">
        <f t="shared" si="168"/>
        <v>102021.94503485948</v>
      </c>
      <c r="DI20" s="119">
        <f t="shared" si="169"/>
        <v>0</v>
      </c>
      <c r="DJ20" s="73" t="s">
        <v>8</v>
      </c>
      <c r="DK20" s="27" t="s">
        <v>8</v>
      </c>
      <c r="DL20" s="32">
        <f t="shared" si="170"/>
        <v>0.53496236634549632</v>
      </c>
      <c r="DM20" s="30">
        <f t="shared" si="171"/>
        <v>2.8966115628378031E-2</v>
      </c>
      <c r="DN20" s="50">
        <f t="shared" si="172"/>
        <v>102021.94503485948</v>
      </c>
      <c r="DO20" s="119">
        <f t="shared" si="173"/>
        <v>0</v>
      </c>
      <c r="DP20" s="73" t="s">
        <v>8</v>
      </c>
      <c r="DQ20" s="27" t="s">
        <v>8</v>
      </c>
      <c r="DR20" s="32">
        <f t="shared" si="174"/>
        <v>0.53496236634549632</v>
      </c>
      <c r="DS20" s="30">
        <f t="shared" si="175"/>
        <v>2.8966115628378031E-2</v>
      </c>
      <c r="DT20" s="50">
        <f t="shared" si="176"/>
        <v>102021.94503485948</v>
      </c>
      <c r="DU20" s="119">
        <f t="shared" si="177"/>
        <v>0</v>
      </c>
      <c r="DV20" s="73" t="s">
        <v>8</v>
      </c>
      <c r="DW20" s="27" t="s">
        <v>8</v>
      </c>
      <c r="DX20" s="32">
        <f t="shared" si="178"/>
        <v>0.53496236634549632</v>
      </c>
      <c r="DY20" s="30">
        <f t="shared" si="179"/>
        <v>2.8966115628378031E-2</v>
      </c>
      <c r="DZ20" s="31">
        <f t="shared" si="180"/>
        <v>102021.94503485948</v>
      </c>
      <c r="EA20" s="77">
        <f t="shared" si="181"/>
        <v>0</v>
      </c>
      <c r="EB20" s="73" t="s">
        <v>8</v>
      </c>
      <c r="EC20" s="27" t="s">
        <v>8</v>
      </c>
      <c r="ED20" s="32">
        <f t="shared" si="182"/>
        <v>0.53496236634549632</v>
      </c>
      <c r="EE20" s="30">
        <f t="shared" si="183"/>
        <v>2.8966115628378031E-2</v>
      </c>
      <c r="EF20" s="31">
        <f t="shared" si="184"/>
        <v>102021.94503485948</v>
      </c>
      <c r="EG20" s="77">
        <f t="shared" si="185"/>
        <v>0</v>
      </c>
      <c r="EH20" s="73" t="s">
        <v>8</v>
      </c>
      <c r="EI20" s="27" t="s">
        <v>8</v>
      </c>
      <c r="EJ20" s="32">
        <f t="shared" si="186"/>
        <v>0.53496236634549632</v>
      </c>
      <c r="EK20" s="30">
        <f t="shared" si="187"/>
        <v>2.8966115628378031E-2</v>
      </c>
      <c r="EL20" s="31">
        <f t="shared" si="188"/>
        <v>102021.94503485948</v>
      </c>
      <c r="EM20" s="77">
        <f t="shared" si="189"/>
        <v>0</v>
      </c>
      <c r="EN20" s="73" t="s">
        <v>8</v>
      </c>
      <c r="EO20" s="27" t="s">
        <v>8</v>
      </c>
      <c r="EP20" s="32">
        <f t="shared" si="190"/>
        <v>0.53496236634549632</v>
      </c>
      <c r="EQ20" s="30">
        <f t="shared" si="191"/>
        <v>2.8966115628378031E-2</v>
      </c>
      <c r="ER20" s="31">
        <f t="shared" si="192"/>
        <v>102021.94503485948</v>
      </c>
      <c r="ES20" s="77">
        <f t="shared" si="193"/>
        <v>0</v>
      </c>
      <c r="ET20" s="73" t="s">
        <v>8</v>
      </c>
      <c r="EU20" s="27" t="s">
        <v>8</v>
      </c>
      <c r="EV20" s="32">
        <f t="shared" si="194"/>
        <v>0.53496236634549632</v>
      </c>
      <c r="EW20" s="30">
        <f t="shared" si="195"/>
        <v>2.8966115628378031E-2</v>
      </c>
      <c r="EX20" s="31">
        <f t="shared" si="196"/>
        <v>102021.94503485948</v>
      </c>
      <c r="EY20" s="77">
        <f t="shared" si="197"/>
        <v>0</v>
      </c>
      <c r="EZ20" s="73" t="s">
        <v>8</v>
      </c>
      <c r="FA20" s="27" t="s">
        <v>8</v>
      </c>
      <c r="FB20" s="32">
        <f t="shared" si="198"/>
        <v>0.53496236634549632</v>
      </c>
      <c r="FC20" s="30">
        <f t="shared" si="199"/>
        <v>2.8966115628378031E-2</v>
      </c>
      <c r="FD20" s="31">
        <f t="shared" si="200"/>
        <v>102021.94503485948</v>
      </c>
      <c r="FE20" s="77">
        <f t="shared" si="201"/>
        <v>0</v>
      </c>
      <c r="FF20" s="73" t="s">
        <v>8</v>
      </c>
      <c r="FG20" s="27" t="s">
        <v>8</v>
      </c>
      <c r="FH20" s="32">
        <f t="shared" si="202"/>
        <v>0.53496236634549632</v>
      </c>
      <c r="FI20" s="30">
        <f t="shared" si="203"/>
        <v>2.8966115628378031E-2</v>
      </c>
      <c r="FJ20" s="31">
        <f t="shared" si="204"/>
        <v>102021.94503485948</v>
      </c>
      <c r="FK20" s="77">
        <f t="shared" si="205"/>
        <v>0</v>
      </c>
      <c r="FL20" s="73" t="s">
        <v>8</v>
      </c>
      <c r="FM20" s="27" t="s">
        <v>8</v>
      </c>
      <c r="FN20" s="32">
        <f t="shared" si="206"/>
        <v>0.53496236634549632</v>
      </c>
      <c r="FO20" s="30">
        <f t="shared" si="207"/>
        <v>2.8966115628378031E-2</v>
      </c>
      <c r="FP20" s="31">
        <f t="shared" si="208"/>
        <v>102021.94503485948</v>
      </c>
      <c r="FQ20" s="77">
        <f t="shared" si="209"/>
        <v>0</v>
      </c>
      <c r="FR20" s="73" t="s">
        <v>8</v>
      </c>
      <c r="FS20" s="27" t="s">
        <v>8</v>
      </c>
      <c r="FT20" s="32">
        <f t="shared" si="210"/>
        <v>0.53496236634549632</v>
      </c>
      <c r="FU20" s="30">
        <f t="shared" si="211"/>
        <v>2.8966115628378031E-2</v>
      </c>
      <c r="FV20" s="31">
        <f t="shared" si="212"/>
        <v>102021.94503485948</v>
      </c>
      <c r="FW20" s="77">
        <f t="shared" si="213"/>
        <v>0</v>
      </c>
      <c r="FX20" s="73" t="s">
        <v>8</v>
      </c>
      <c r="FY20" s="27" t="s">
        <v>8</v>
      </c>
      <c r="FZ20" s="32">
        <f t="shared" si="214"/>
        <v>0.53496236634549632</v>
      </c>
      <c r="GA20" s="30">
        <f t="shared" si="215"/>
        <v>2.8966115628378031E-2</v>
      </c>
      <c r="GB20" s="31">
        <f t="shared" si="216"/>
        <v>102021.94503485948</v>
      </c>
      <c r="GC20" s="77">
        <f t="shared" si="217"/>
        <v>0</v>
      </c>
      <c r="GD20" s="73" t="s">
        <v>8</v>
      </c>
      <c r="GE20" s="27" t="s">
        <v>8</v>
      </c>
      <c r="GF20" s="32">
        <f t="shared" si="218"/>
        <v>0.53496236634549632</v>
      </c>
      <c r="GG20" s="30">
        <f t="shared" si="219"/>
        <v>2.8966115628378031E-2</v>
      </c>
      <c r="GH20" s="31">
        <f t="shared" si="220"/>
        <v>102021.94503485948</v>
      </c>
      <c r="GI20" s="119">
        <f t="shared" si="221"/>
        <v>0</v>
      </c>
      <c r="GJ20" s="156">
        <f t="shared" si="227"/>
        <v>319206.72175297671</v>
      </c>
      <c r="GK20" s="92">
        <f t="shared" si="222"/>
        <v>479507.47025366919</v>
      </c>
      <c r="GL20" s="207">
        <f t="shared" si="223"/>
        <v>0.53496236634549632</v>
      </c>
      <c r="GM20" s="219">
        <v>479507.47</v>
      </c>
      <c r="GN20" s="216"/>
    </row>
    <row r="21" spans="1:196" s="22" customFormat="1" ht="18.75" x14ac:dyDescent="0.25">
      <c r="A21" s="190" t="s">
        <v>189</v>
      </c>
      <c r="B21" s="145" t="s">
        <v>8</v>
      </c>
      <c r="C21" s="145" t="s">
        <v>8</v>
      </c>
      <c r="D21" s="145" t="s">
        <v>8</v>
      </c>
      <c r="E21" s="145" t="s">
        <v>8</v>
      </c>
      <c r="F21" s="145" t="s">
        <v>8</v>
      </c>
      <c r="G21" s="130">
        <v>347</v>
      </c>
      <c r="H21" s="131">
        <f>'Исходные данные'!D23</f>
        <v>217471</v>
      </c>
      <c r="I21" s="132">
        <f>'Расчет КРП'!H21</f>
        <v>4.5913797667973748</v>
      </c>
      <c r="J21" s="133" t="s">
        <v>8</v>
      </c>
      <c r="K21" s="134">
        <f t="shared" si="104"/>
        <v>8.0144309064486025E-2</v>
      </c>
      <c r="L21" s="135">
        <f t="shared" si="105"/>
        <v>256333.45497576182</v>
      </c>
      <c r="M21" s="136">
        <f t="shared" si="224"/>
        <v>0.17461054888103614</v>
      </c>
      <c r="N21" s="137" t="s">
        <v>8</v>
      </c>
      <c r="O21" s="138">
        <f t="shared" si="228"/>
        <v>0.13195574287382392</v>
      </c>
      <c r="P21" s="31">
        <f t="shared" si="106"/>
        <v>513362.86120191589</v>
      </c>
      <c r="Q21" s="139">
        <f t="shared" si="107"/>
        <v>513362.86120191589</v>
      </c>
      <c r="R21" s="150" t="s">
        <v>8</v>
      </c>
      <c r="S21" s="137" t="s">
        <v>8</v>
      </c>
      <c r="T21" s="140">
        <f t="shared" si="225"/>
        <v>0.3637995065369774</v>
      </c>
      <c r="U21" s="138">
        <f t="shared" si="108"/>
        <v>3.1073727411398466E-2</v>
      </c>
      <c r="V21" s="50">
        <f t="shared" si="109"/>
        <v>138172.81440317785</v>
      </c>
      <c r="W21" s="139">
        <f t="shared" si="110"/>
        <v>138172.81440317785</v>
      </c>
      <c r="X21" s="129" t="s">
        <v>8</v>
      </c>
      <c r="Y21" s="137" t="s">
        <v>8</v>
      </c>
      <c r="Z21" s="140">
        <f t="shared" si="226"/>
        <v>0.41472015683903207</v>
      </c>
      <c r="AA21" s="138">
        <f t="shared" si="111"/>
        <v>5.8471915836337041E-2</v>
      </c>
      <c r="AB21" s="50">
        <f t="shared" si="112"/>
        <v>289663.08223607892</v>
      </c>
      <c r="AC21" s="139">
        <f t="shared" si="113"/>
        <v>289663.08223607892</v>
      </c>
      <c r="AD21" s="129" t="s">
        <v>8</v>
      </c>
      <c r="AE21" s="137" t="s">
        <v>8</v>
      </c>
      <c r="AF21" s="140">
        <f t="shared" si="114"/>
        <v>0.52146932149684833</v>
      </c>
      <c r="AG21" s="138">
        <f t="shared" si="115"/>
        <v>2.1103408318688843E-2</v>
      </c>
      <c r="AH21" s="50">
        <f t="shared" si="116"/>
        <v>113493.69142396111</v>
      </c>
      <c r="AI21" s="139">
        <f t="shared" si="117"/>
        <v>41693.996453770233</v>
      </c>
      <c r="AJ21" s="129" t="s">
        <v>8</v>
      </c>
      <c r="AK21" s="137" t="s">
        <v>8</v>
      </c>
      <c r="AL21" s="140">
        <f t="shared" si="118"/>
        <v>0.53683475660279134</v>
      </c>
      <c r="AM21" s="138">
        <f t="shared" si="119"/>
        <v>2.7093725371083011E-2</v>
      </c>
      <c r="AN21" s="50">
        <f t="shared" si="120"/>
        <v>149440.6794589296</v>
      </c>
      <c r="AO21" s="139">
        <f t="shared" si="121"/>
        <v>0</v>
      </c>
      <c r="AP21" s="129" t="s">
        <v>8</v>
      </c>
      <c r="AQ21" s="137" t="s">
        <v>8</v>
      </c>
      <c r="AR21" s="140">
        <f t="shared" si="122"/>
        <v>0.53683475660279134</v>
      </c>
      <c r="AS21" s="138">
        <f t="shared" si="123"/>
        <v>2.7093725371083011E-2</v>
      </c>
      <c r="AT21" s="50">
        <f t="shared" si="124"/>
        <v>149440.6794589296</v>
      </c>
      <c r="AU21" s="139">
        <f t="shared" si="125"/>
        <v>0</v>
      </c>
      <c r="AV21" s="129" t="s">
        <v>8</v>
      </c>
      <c r="AW21" s="137" t="s">
        <v>8</v>
      </c>
      <c r="AX21" s="140">
        <f t="shared" si="126"/>
        <v>0.53683475660279134</v>
      </c>
      <c r="AY21" s="138">
        <f t="shared" si="127"/>
        <v>2.7093725371083011E-2</v>
      </c>
      <c r="AZ21" s="50">
        <f t="shared" si="128"/>
        <v>149440.6794589296</v>
      </c>
      <c r="BA21" s="139">
        <f t="shared" si="129"/>
        <v>0</v>
      </c>
      <c r="BB21" s="129" t="s">
        <v>8</v>
      </c>
      <c r="BC21" s="137" t="s">
        <v>8</v>
      </c>
      <c r="BD21" s="140">
        <f t="shared" si="130"/>
        <v>0.53683475660279134</v>
      </c>
      <c r="BE21" s="138">
        <f t="shared" si="131"/>
        <v>2.7093725371083011E-2</v>
      </c>
      <c r="BF21" s="50">
        <f t="shared" si="132"/>
        <v>149440.6794589296</v>
      </c>
      <c r="BG21" s="139">
        <f t="shared" si="133"/>
        <v>0</v>
      </c>
      <c r="BH21" s="129" t="s">
        <v>8</v>
      </c>
      <c r="BI21" s="137" t="s">
        <v>8</v>
      </c>
      <c r="BJ21" s="140">
        <f t="shared" si="134"/>
        <v>0.53683475660279134</v>
      </c>
      <c r="BK21" s="138">
        <f t="shared" si="135"/>
        <v>2.7093725371083011E-2</v>
      </c>
      <c r="BL21" s="50">
        <f t="shared" si="136"/>
        <v>149440.6794589296</v>
      </c>
      <c r="BM21" s="139">
        <f t="shared" si="137"/>
        <v>0</v>
      </c>
      <c r="BN21" s="129" t="s">
        <v>8</v>
      </c>
      <c r="BO21" s="137" t="s">
        <v>8</v>
      </c>
      <c r="BP21" s="140">
        <f t="shared" si="138"/>
        <v>0.53683475660279134</v>
      </c>
      <c r="BQ21" s="138">
        <f t="shared" si="139"/>
        <v>2.7093725371083011E-2</v>
      </c>
      <c r="BR21" s="50">
        <f t="shared" si="140"/>
        <v>149440.6794589296</v>
      </c>
      <c r="BS21" s="141">
        <f t="shared" si="141"/>
        <v>0</v>
      </c>
      <c r="BT21" s="129" t="s">
        <v>8</v>
      </c>
      <c r="BU21" s="137" t="s">
        <v>8</v>
      </c>
      <c r="BV21" s="140">
        <f t="shared" si="142"/>
        <v>0.53683475660279134</v>
      </c>
      <c r="BW21" s="138">
        <f t="shared" si="143"/>
        <v>2.7093725371083011E-2</v>
      </c>
      <c r="BX21" s="50">
        <f t="shared" si="144"/>
        <v>149440.6794589296</v>
      </c>
      <c r="BY21" s="141">
        <f t="shared" si="145"/>
        <v>0</v>
      </c>
      <c r="BZ21" s="129" t="s">
        <v>8</v>
      </c>
      <c r="CA21" s="137" t="s">
        <v>8</v>
      </c>
      <c r="CB21" s="140">
        <f t="shared" si="146"/>
        <v>0.53683475660279134</v>
      </c>
      <c r="CC21" s="138">
        <f t="shared" si="147"/>
        <v>2.7093725371083011E-2</v>
      </c>
      <c r="CD21" s="50">
        <f t="shared" si="148"/>
        <v>149440.6794589296</v>
      </c>
      <c r="CE21" s="141">
        <f t="shared" si="149"/>
        <v>0</v>
      </c>
      <c r="CF21" s="129" t="s">
        <v>8</v>
      </c>
      <c r="CG21" s="137" t="s">
        <v>8</v>
      </c>
      <c r="CH21" s="140">
        <f t="shared" si="150"/>
        <v>0.53683475660279134</v>
      </c>
      <c r="CI21" s="138">
        <f t="shared" si="151"/>
        <v>2.7093725371083011E-2</v>
      </c>
      <c r="CJ21" s="50">
        <f t="shared" si="152"/>
        <v>149440.6794589296</v>
      </c>
      <c r="CK21" s="141">
        <f t="shared" si="153"/>
        <v>0</v>
      </c>
      <c r="CL21" s="129" t="s">
        <v>8</v>
      </c>
      <c r="CM21" s="137" t="s">
        <v>8</v>
      </c>
      <c r="CN21" s="140">
        <f t="shared" si="154"/>
        <v>0.53683475660279134</v>
      </c>
      <c r="CO21" s="138">
        <f t="shared" si="155"/>
        <v>2.7093725371083011E-2</v>
      </c>
      <c r="CP21" s="50">
        <f t="shared" si="156"/>
        <v>149440.6794589296</v>
      </c>
      <c r="CQ21" s="141">
        <f t="shared" si="157"/>
        <v>0</v>
      </c>
      <c r="CR21" s="129" t="s">
        <v>8</v>
      </c>
      <c r="CS21" s="137" t="s">
        <v>8</v>
      </c>
      <c r="CT21" s="140">
        <f t="shared" si="158"/>
        <v>0.53683475660279134</v>
      </c>
      <c r="CU21" s="138">
        <f t="shared" si="159"/>
        <v>2.7093725371083011E-2</v>
      </c>
      <c r="CV21" s="50">
        <f t="shared" si="160"/>
        <v>149440.6794589296</v>
      </c>
      <c r="CW21" s="141">
        <f t="shared" si="161"/>
        <v>0</v>
      </c>
      <c r="CX21" s="129" t="s">
        <v>8</v>
      </c>
      <c r="CY21" s="137" t="s">
        <v>8</v>
      </c>
      <c r="CZ21" s="140">
        <f t="shared" si="162"/>
        <v>0.53683475660279134</v>
      </c>
      <c r="DA21" s="138">
        <f t="shared" si="163"/>
        <v>2.7093725371083011E-2</v>
      </c>
      <c r="DB21" s="50">
        <f t="shared" si="164"/>
        <v>149440.6794589296</v>
      </c>
      <c r="DC21" s="141">
        <f t="shared" si="165"/>
        <v>0</v>
      </c>
      <c r="DD21" s="129" t="s">
        <v>8</v>
      </c>
      <c r="DE21" s="137" t="s">
        <v>8</v>
      </c>
      <c r="DF21" s="140">
        <f t="shared" si="166"/>
        <v>0.53683475660279134</v>
      </c>
      <c r="DG21" s="138">
        <f t="shared" si="167"/>
        <v>2.7093725371083011E-2</v>
      </c>
      <c r="DH21" s="50">
        <f t="shared" si="168"/>
        <v>149440.6794589296</v>
      </c>
      <c r="DI21" s="141">
        <f t="shared" si="169"/>
        <v>0</v>
      </c>
      <c r="DJ21" s="129" t="s">
        <v>8</v>
      </c>
      <c r="DK21" s="137" t="s">
        <v>8</v>
      </c>
      <c r="DL21" s="140">
        <f t="shared" si="170"/>
        <v>0.53683475660279134</v>
      </c>
      <c r="DM21" s="138">
        <f t="shared" si="171"/>
        <v>2.7093725371083011E-2</v>
      </c>
      <c r="DN21" s="50">
        <f t="shared" si="172"/>
        <v>149440.6794589296</v>
      </c>
      <c r="DO21" s="141">
        <f t="shared" si="173"/>
        <v>0</v>
      </c>
      <c r="DP21" s="129" t="s">
        <v>8</v>
      </c>
      <c r="DQ21" s="137" t="s">
        <v>8</v>
      </c>
      <c r="DR21" s="140">
        <f t="shared" si="174"/>
        <v>0.53683475660279134</v>
      </c>
      <c r="DS21" s="138">
        <f t="shared" si="175"/>
        <v>2.7093725371083011E-2</v>
      </c>
      <c r="DT21" s="50">
        <f t="shared" si="176"/>
        <v>149440.6794589296</v>
      </c>
      <c r="DU21" s="141">
        <f t="shared" si="177"/>
        <v>0</v>
      </c>
      <c r="DV21" s="129" t="s">
        <v>8</v>
      </c>
      <c r="DW21" s="137" t="s">
        <v>8</v>
      </c>
      <c r="DX21" s="32">
        <f t="shared" si="178"/>
        <v>0.53683475660279134</v>
      </c>
      <c r="DY21" s="138">
        <f t="shared" si="179"/>
        <v>2.7093725371083011E-2</v>
      </c>
      <c r="DZ21" s="31">
        <f t="shared" si="180"/>
        <v>149440.6794589296</v>
      </c>
      <c r="EA21" s="139">
        <f t="shared" si="181"/>
        <v>0</v>
      </c>
      <c r="EB21" s="129" t="s">
        <v>8</v>
      </c>
      <c r="EC21" s="137" t="s">
        <v>8</v>
      </c>
      <c r="ED21" s="32">
        <f t="shared" si="182"/>
        <v>0.53683475660279134</v>
      </c>
      <c r="EE21" s="138">
        <f t="shared" si="183"/>
        <v>2.7093725371083011E-2</v>
      </c>
      <c r="EF21" s="31">
        <f t="shared" si="184"/>
        <v>149440.6794589296</v>
      </c>
      <c r="EG21" s="139">
        <f t="shared" si="185"/>
        <v>0</v>
      </c>
      <c r="EH21" s="129" t="s">
        <v>8</v>
      </c>
      <c r="EI21" s="137" t="s">
        <v>8</v>
      </c>
      <c r="EJ21" s="32">
        <f t="shared" si="186"/>
        <v>0.53683475660279134</v>
      </c>
      <c r="EK21" s="138">
        <f t="shared" si="187"/>
        <v>2.7093725371083011E-2</v>
      </c>
      <c r="EL21" s="31">
        <f t="shared" si="188"/>
        <v>149440.6794589296</v>
      </c>
      <c r="EM21" s="139">
        <f t="shared" si="189"/>
        <v>0</v>
      </c>
      <c r="EN21" s="129" t="s">
        <v>8</v>
      </c>
      <c r="EO21" s="137" t="s">
        <v>8</v>
      </c>
      <c r="EP21" s="32">
        <f t="shared" si="190"/>
        <v>0.53683475660279134</v>
      </c>
      <c r="EQ21" s="138">
        <f t="shared" si="191"/>
        <v>2.7093725371083011E-2</v>
      </c>
      <c r="ER21" s="31">
        <f t="shared" si="192"/>
        <v>149440.6794589296</v>
      </c>
      <c r="ES21" s="139">
        <f t="shared" si="193"/>
        <v>0</v>
      </c>
      <c r="ET21" s="129" t="s">
        <v>8</v>
      </c>
      <c r="EU21" s="137" t="s">
        <v>8</v>
      </c>
      <c r="EV21" s="32">
        <f t="shared" si="194"/>
        <v>0.53683475660279134</v>
      </c>
      <c r="EW21" s="138">
        <f t="shared" si="195"/>
        <v>2.7093725371083011E-2</v>
      </c>
      <c r="EX21" s="31">
        <f t="shared" si="196"/>
        <v>149440.6794589296</v>
      </c>
      <c r="EY21" s="139">
        <f t="shared" si="197"/>
        <v>0</v>
      </c>
      <c r="EZ21" s="129" t="s">
        <v>8</v>
      </c>
      <c r="FA21" s="137" t="s">
        <v>8</v>
      </c>
      <c r="FB21" s="32">
        <f t="shared" si="198"/>
        <v>0.53683475660279134</v>
      </c>
      <c r="FC21" s="138">
        <f t="shared" si="199"/>
        <v>2.7093725371083011E-2</v>
      </c>
      <c r="FD21" s="31">
        <f t="shared" si="200"/>
        <v>149440.6794589296</v>
      </c>
      <c r="FE21" s="139">
        <f t="shared" si="201"/>
        <v>0</v>
      </c>
      <c r="FF21" s="129" t="s">
        <v>8</v>
      </c>
      <c r="FG21" s="137" t="s">
        <v>8</v>
      </c>
      <c r="FH21" s="32">
        <f t="shared" si="202"/>
        <v>0.53683475660279134</v>
      </c>
      <c r="FI21" s="138">
        <f t="shared" si="203"/>
        <v>2.7093725371083011E-2</v>
      </c>
      <c r="FJ21" s="31">
        <f t="shared" si="204"/>
        <v>149440.6794589296</v>
      </c>
      <c r="FK21" s="139">
        <f t="shared" si="205"/>
        <v>0</v>
      </c>
      <c r="FL21" s="129" t="s">
        <v>8</v>
      </c>
      <c r="FM21" s="137" t="s">
        <v>8</v>
      </c>
      <c r="FN21" s="32">
        <f t="shared" si="206"/>
        <v>0.53683475660279134</v>
      </c>
      <c r="FO21" s="138">
        <f t="shared" si="207"/>
        <v>2.7093725371083011E-2</v>
      </c>
      <c r="FP21" s="31">
        <f t="shared" si="208"/>
        <v>149440.6794589296</v>
      </c>
      <c r="FQ21" s="139">
        <f t="shared" si="209"/>
        <v>0</v>
      </c>
      <c r="FR21" s="129" t="s">
        <v>8</v>
      </c>
      <c r="FS21" s="137" t="s">
        <v>8</v>
      </c>
      <c r="FT21" s="32">
        <f t="shared" si="210"/>
        <v>0.53683475660279134</v>
      </c>
      <c r="FU21" s="138">
        <f t="shared" si="211"/>
        <v>2.7093725371083011E-2</v>
      </c>
      <c r="FV21" s="31">
        <f t="shared" si="212"/>
        <v>149440.6794589296</v>
      </c>
      <c r="FW21" s="139">
        <f t="shared" si="213"/>
        <v>0</v>
      </c>
      <c r="FX21" s="129" t="s">
        <v>8</v>
      </c>
      <c r="FY21" s="137" t="s">
        <v>8</v>
      </c>
      <c r="FZ21" s="32">
        <f t="shared" si="214"/>
        <v>0.53683475660279134</v>
      </c>
      <c r="GA21" s="138">
        <f t="shared" si="215"/>
        <v>2.7093725371083011E-2</v>
      </c>
      <c r="GB21" s="31">
        <f t="shared" si="216"/>
        <v>149440.6794589296</v>
      </c>
      <c r="GC21" s="139">
        <f t="shared" si="217"/>
        <v>0</v>
      </c>
      <c r="GD21" s="129" t="s">
        <v>8</v>
      </c>
      <c r="GE21" s="137" t="s">
        <v>8</v>
      </c>
      <c r="GF21" s="32">
        <f t="shared" si="218"/>
        <v>0.53683475660279134</v>
      </c>
      <c r="GG21" s="138">
        <f t="shared" si="219"/>
        <v>2.7093725371083011E-2</v>
      </c>
      <c r="GH21" s="31">
        <f t="shared" si="220"/>
        <v>149440.6794589296</v>
      </c>
      <c r="GI21" s="141">
        <f t="shared" si="221"/>
        <v>0</v>
      </c>
      <c r="GJ21" s="156">
        <f t="shared" si="227"/>
        <v>982892.75429494283</v>
      </c>
      <c r="GK21" s="92">
        <f t="shared" si="222"/>
        <v>1239226.2092707045</v>
      </c>
      <c r="GL21" s="207">
        <f t="shared" si="223"/>
        <v>0.53683475660279134</v>
      </c>
      <c r="GM21" s="219">
        <v>1239226.2</v>
      </c>
      <c r="GN21" s="216"/>
    </row>
    <row r="22" spans="1:196" s="22" customFormat="1" ht="18.75" x14ac:dyDescent="0.25">
      <c r="A22" s="190" t="s">
        <v>190</v>
      </c>
      <c r="B22" s="145" t="s">
        <v>8</v>
      </c>
      <c r="C22" s="145" t="s">
        <v>8</v>
      </c>
      <c r="D22" s="145" t="s">
        <v>8</v>
      </c>
      <c r="E22" s="145" t="s">
        <v>8</v>
      </c>
      <c r="F22" s="145" t="s">
        <v>8</v>
      </c>
      <c r="G22" s="130">
        <v>219</v>
      </c>
      <c r="H22" s="131">
        <f>'Исходные данные'!D24</f>
        <v>313184</v>
      </c>
      <c r="I22" s="132">
        <f>'Расчет КРП'!H22</f>
        <v>4.5967132623739388</v>
      </c>
      <c r="J22" s="133" t="s">
        <v>8</v>
      </c>
      <c r="K22" s="134">
        <f t="shared" si="104"/>
        <v>0.18266362264634486</v>
      </c>
      <c r="L22" s="135">
        <f t="shared" si="105"/>
        <v>161778.17475415513</v>
      </c>
      <c r="M22" s="136">
        <f t="shared" si="224"/>
        <v>0.27702025474028147</v>
      </c>
      <c r="N22" s="137" t="s">
        <v>8</v>
      </c>
      <c r="O22" s="138">
        <f t="shared" si="228"/>
        <v>2.9546037014578586E-2</v>
      </c>
      <c r="P22" s="31">
        <f t="shared" si="106"/>
        <v>72629.695969384746</v>
      </c>
      <c r="Q22" s="139">
        <f t="shared" si="107"/>
        <v>72629.695969384746</v>
      </c>
      <c r="R22" s="150" t="s">
        <v>8</v>
      </c>
      <c r="S22" s="137" t="s">
        <v>8</v>
      </c>
      <c r="T22" s="140">
        <f t="shared" si="225"/>
        <v>0.31938130567989026</v>
      </c>
      <c r="U22" s="138">
        <f t="shared" si="108"/>
        <v>7.5491928268485609E-2</v>
      </c>
      <c r="V22" s="50">
        <f t="shared" si="109"/>
        <v>212103.87771881896</v>
      </c>
      <c r="W22" s="139">
        <f t="shared" si="110"/>
        <v>212103.87771881896</v>
      </c>
      <c r="X22" s="129" t="s">
        <v>8</v>
      </c>
      <c r="Y22" s="137" t="s">
        <v>8</v>
      </c>
      <c r="Z22" s="140">
        <f t="shared" si="226"/>
        <v>0.44309025211858705</v>
      </c>
      <c r="AA22" s="138">
        <f t="shared" si="111"/>
        <v>3.0101820556782066E-2</v>
      </c>
      <c r="AB22" s="50">
        <f t="shared" si="112"/>
        <v>94223.107688842661</v>
      </c>
      <c r="AC22" s="139">
        <f t="shared" si="113"/>
        <v>94223.107688842661</v>
      </c>
      <c r="AD22" s="129" t="s">
        <v>8</v>
      </c>
      <c r="AE22" s="137" t="s">
        <v>8</v>
      </c>
      <c r="AF22" s="140">
        <f t="shared" si="114"/>
        <v>0.49804559526332209</v>
      </c>
      <c r="AG22" s="138">
        <f t="shared" si="115"/>
        <v>4.4527134552215075E-2</v>
      </c>
      <c r="AH22" s="50">
        <f t="shared" si="116"/>
        <v>151308.28389559637</v>
      </c>
      <c r="AI22" s="139">
        <f t="shared" si="117"/>
        <v>55585.882995053893</v>
      </c>
      <c r="AJ22" s="129" t="s">
        <v>8</v>
      </c>
      <c r="AK22" s="137" t="s">
        <v>8</v>
      </c>
      <c r="AL22" s="140">
        <f t="shared" si="118"/>
        <v>0.53046589373282371</v>
      </c>
      <c r="AM22" s="138">
        <f t="shared" si="119"/>
        <v>3.3462588241050639E-2</v>
      </c>
      <c r="AN22" s="50">
        <f t="shared" si="120"/>
        <v>116621.46060375198</v>
      </c>
      <c r="AO22" s="139">
        <f t="shared" si="121"/>
        <v>0</v>
      </c>
      <c r="AP22" s="129" t="s">
        <v>8</v>
      </c>
      <c r="AQ22" s="137" t="s">
        <v>8</v>
      </c>
      <c r="AR22" s="140">
        <f t="shared" si="122"/>
        <v>0.53046589373282371</v>
      </c>
      <c r="AS22" s="138">
        <f t="shared" si="123"/>
        <v>3.3462588241050639E-2</v>
      </c>
      <c r="AT22" s="50">
        <f t="shared" si="124"/>
        <v>116621.46060375198</v>
      </c>
      <c r="AU22" s="139">
        <f t="shared" si="125"/>
        <v>0</v>
      </c>
      <c r="AV22" s="129" t="s">
        <v>8</v>
      </c>
      <c r="AW22" s="137" t="s">
        <v>8</v>
      </c>
      <c r="AX22" s="140">
        <f t="shared" si="126"/>
        <v>0.53046589373282371</v>
      </c>
      <c r="AY22" s="138">
        <f t="shared" si="127"/>
        <v>3.3462588241050639E-2</v>
      </c>
      <c r="AZ22" s="50">
        <f t="shared" si="128"/>
        <v>116621.46060375198</v>
      </c>
      <c r="BA22" s="139">
        <f t="shared" si="129"/>
        <v>0</v>
      </c>
      <c r="BB22" s="129" t="s">
        <v>8</v>
      </c>
      <c r="BC22" s="137" t="s">
        <v>8</v>
      </c>
      <c r="BD22" s="140">
        <f t="shared" si="130"/>
        <v>0.53046589373282371</v>
      </c>
      <c r="BE22" s="138">
        <f t="shared" si="131"/>
        <v>3.3462588241050639E-2</v>
      </c>
      <c r="BF22" s="50">
        <f t="shared" si="132"/>
        <v>116621.46060375198</v>
      </c>
      <c r="BG22" s="139">
        <f t="shared" si="133"/>
        <v>0</v>
      </c>
      <c r="BH22" s="129" t="s">
        <v>8</v>
      </c>
      <c r="BI22" s="137" t="s">
        <v>8</v>
      </c>
      <c r="BJ22" s="140">
        <f t="shared" si="134"/>
        <v>0.53046589373282371</v>
      </c>
      <c r="BK22" s="138">
        <f t="shared" si="135"/>
        <v>3.3462588241050639E-2</v>
      </c>
      <c r="BL22" s="50">
        <f t="shared" si="136"/>
        <v>116621.46060375198</v>
      </c>
      <c r="BM22" s="139">
        <f t="shared" si="137"/>
        <v>0</v>
      </c>
      <c r="BN22" s="129" t="s">
        <v>8</v>
      </c>
      <c r="BO22" s="137" t="s">
        <v>8</v>
      </c>
      <c r="BP22" s="140">
        <f t="shared" si="138"/>
        <v>0.53046589373282371</v>
      </c>
      <c r="BQ22" s="138">
        <f t="shared" si="139"/>
        <v>3.3462588241050639E-2</v>
      </c>
      <c r="BR22" s="50">
        <f t="shared" si="140"/>
        <v>116621.46060375198</v>
      </c>
      <c r="BS22" s="141">
        <f t="shared" si="141"/>
        <v>0</v>
      </c>
      <c r="BT22" s="129" t="s">
        <v>8</v>
      </c>
      <c r="BU22" s="137" t="s">
        <v>8</v>
      </c>
      <c r="BV22" s="140">
        <f t="shared" si="142"/>
        <v>0.53046589373282371</v>
      </c>
      <c r="BW22" s="138">
        <f t="shared" si="143"/>
        <v>3.3462588241050639E-2</v>
      </c>
      <c r="BX22" s="50">
        <f t="shared" si="144"/>
        <v>116621.46060375198</v>
      </c>
      <c r="BY22" s="141">
        <f t="shared" si="145"/>
        <v>0</v>
      </c>
      <c r="BZ22" s="129" t="s">
        <v>8</v>
      </c>
      <c r="CA22" s="137" t="s">
        <v>8</v>
      </c>
      <c r="CB22" s="140">
        <f t="shared" si="146"/>
        <v>0.53046589373282371</v>
      </c>
      <c r="CC22" s="138">
        <f t="shared" si="147"/>
        <v>3.3462588241050639E-2</v>
      </c>
      <c r="CD22" s="50">
        <f t="shared" si="148"/>
        <v>116621.46060375198</v>
      </c>
      <c r="CE22" s="141">
        <f t="shared" si="149"/>
        <v>0</v>
      </c>
      <c r="CF22" s="129" t="s">
        <v>8</v>
      </c>
      <c r="CG22" s="137" t="s">
        <v>8</v>
      </c>
      <c r="CH22" s="140">
        <f t="shared" si="150"/>
        <v>0.53046589373282371</v>
      </c>
      <c r="CI22" s="138">
        <f t="shared" si="151"/>
        <v>3.3462588241050639E-2</v>
      </c>
      <c r="CJ22" s="50">
        <f t="shared" si="152"/>
        <v>116621.46060375198</v>
      </c>
      <c r="CK22" s="141">
        <f t="shared" si="153"/>
        <v>0</v>
      </c>
      <c r="CL22" s="129" t="s">
        <v>8</v>
      </c>
      <c r="CM22" s="137" t="s">
        <v>8</v>
      </c>
      <c r="CN22" s="140">
        <f t="shared" si="154"/>
        <v>0.53046589373282371</v>
      </c>
      <c r="CO22" s="138">
        <f t="shared" si="155"/>
        <v>3.3462588241050639E-2</v>
      </c>
      <c r="CP22" s="50">
        <f t="shared" si="156"/>
        <v>116621.46060375198</v>
      </c>
      <c r="CQ22" s="141">
        <f t="shared" si="157"/>
        <v>0</v>
      </c>
      <c r="CR22" s="129" t="s">
        <v>8</v>
      </c>
      <c r="CS22" s="137" t="s">
        <v>8</v>
      </c>
      <c r="CT22" s="140">
        <f t="shared" si="158"/>
        <v>0.53046589373282371</v>
      </c>
      <c r="CU22" s="138">
        <f t="shared" si="159"/>
        <v>3.3462588241050639E-2</v>
      </c>
      <c r="CV22" s="50">
        <f t="shared" si="160"/>
        <v>116621.46060375198</v>
      </c>
      <c r="CW22" s="141">
        <f t="shared" si="161"/>
        <v>0</v>
      </c>
      <c r="CX22" s="129" t="s">
        <v>8</v>
      </c>
      <c r="CY22" s="137" t="s">
        <v>8</v>
      </c>
      <c r="CZ22" s="140">
        <f t="shared" si="162"/>
        <v>0.53046589373282371</v>
      </c>
      <c r="DA22" s="138">
        <f t="shared" si="163"/>
        <v>3.3462588241050639E-2</v>
      </c>
      <c r="DB22" s="50">
        <f t="shared" si="164"/>
        <v>116621.46060375198</v>
      </c>
      <c r="DC22" s="141">
        <f t="shared" si="165"/>
        <v>0</v>
      </c>
      <c r="DD22" s="129" t="s">
        <v>8</v>
      </c>
      <c r="DE22" s="137" t="s">
        <v>8</v>
      </c>
      <c r="DF22" s="140">
        <f t="shared" si="166"/>
        <v>0.53046589373282371</v>
      </c>
      <c r="DG22" s="138">
        <f t="shared" si="167"/>
        <v>3.3462588241050639E-2</v>
      </c>
      <c r="DH22" s="50">
        <f t="shared" si="168"/>
        <v>116621.46060375198</v>
      </c>
      <c r="DI22" s="141">
        <f t="shared" si="169"/>
        <v>0</v>
      </c>
      <c r="DJ22" s="129" t="s">
        <v>8</v>
      </c>
      <c r="DK22" s="137" t="s">
        <v>8</v>
      </c>
      <c r="DL22" s="140">
        <f t="shared" si="170"/>
        <v>0.53046589373282371</v>
      </c>
      <c r="DM22" s="138">
        <f t="shared" si="171"/>
        <v>3.3462588241050639E-2</v>
      </c>
      <c r="DN22" s="50">
        <f t="shared" si="172"/>
        <v>116621.46060375198</v>
      </c>
      <c r="DO22" s="141">
        <f t="shared" si="173"/>
        <v>0</v>
      </c>
      <c r="DP22" s="129" t="s">
        <v>8</v>
      </c>
      <c r="DQ22" s="137" t="s">
        <v>8</v>
      </c>
      <c r="DR22" s="140">
        <f t="shared" si="174"/>
        <v>0.53046589373282371</v>
      </c>
      <c r="DS22" s="138">
        <f t="shared" si="175"/>
        <v>3.3462588241050639E-2</v>
      </c>
      <c r="DT22" s="50">
        <f t="shared" si="176"/>
        <v>116621.46060375198</v>
      </c>
      <c r="DU22" s="141">
        <f t="shared" si="177"/>
        <v>0</v>
      </c>
      <c r="DV22" s="129" t="s">
        <v>8</v>
      </c>
      <c r="DW22" s="137" t="s">
        <v>8</v>
      </c>
      <c r="DX22" s="32">
        <f t="shared" si="178"/>
        <v>0.53046589373282371</v>
      </c>
      <c r="DY22" s="138">
        <f t="shared" si="179"/>
        <v>3.3462588241050639E-2</v>
      </c>
      <c r="DZ22" s="31">
        <f t="shared" si="180"/>
        <v>116621.46060375198</v>
      </c>
      <c r="EA22" s="139">
        <f t="shared" si="181"/>
        <v>0</v>
      </c>
      <c r="EB22" s="129" t="s">
        <v>8</v>
      </c>
      <c r="EC22" s="137" t="s">
        <v>8</v>
      </c>
      <c r="ED22" s="32">
        <f t="shared" si="182"/>
        <v>0.53046589373282371</v>
      </c>
      <c r="EE22" s="138">
        <f t="shared" si="183"/>
        <v>3.3462588241050639E-2</v>
      </c>
      <c r="EF22" s="31">
        <f t="shared" si="184"/>
        <v>116621.46060375198</v>
      </c>
      <c r="EG22" s="139">
        <f t="shared" si="185"/>
        <v>0</v>
      </c>
      <c r="EH22" s="129" t="s">
        <v>8</v>
      </c>
      <c r="EI22" s="137" t="s">
        <v>8</v>
      </c>
      <c r="EJ22" s="32">
        <f t="shared" si="186"/>
        <v>0.53046589373282371</v>
      </c>
      <c r="EK22" s="138">
        <f t="shared" si="187"/>
        <v>3.3462588241050639E-2</v>
      </c>
      <c r="EL22" s="31">
        <f t="shared" si="188"/>
        <v>116621.46060375198</v>
      </c>
      <c r="EM22" s="139">
        <f t="shared" si="189"/>
        <v>0</v>
      </c>
      <c r="EN22" s="129" t="s">
        <v>8</v>
      </c>
      <c r="EO22" s="137" t="s">
        <v>8</v>
      </c>
      <c r="EP22" s="32">
        <f t="shared" si="190"/>
        <v>0.53046589373282371</v>
      </c>
      <c r="EQ22" s="138">
        <f t="shared" si="191"/>
        <v>3.3462588241050639E-2</v>
      </c>
      <c r="ER22" s="31">
        <f t="shared" si="192"/>
        <v>116621.46060375198</v>
      </c>
      <c r="ES22" s="139">
        <f t="shared" si="193"/>
        <v>0</v>
      </c>
      <c r="ET22" s="129" t="s">
        <v>8</v>
      </c>
      <c r="EU22" s="137" t="s">
        <v>8</v>
      </c>
      <c r="EV22" s="32">
        <f t="shared" si="194"/>
        <v>0.53046589373282371</v>
      </c>
      <c r="EW22" s="138">
        <f t="shared" si="195"/>
        <v>3.3462588241050639E-2</v>
      </c>
      <c r="EX22" s="31">
        <f t="shared" si="196"/>
        <v>116621.46060375198</v>
      </c>
      <c r="EY22" s="139">
        <f t="shared" si="197"/>
        <v>0</v>
      </c>
      <c r="EZ22" s="129" t="s">
        <v>8</v>
      </c>
      <c r="FA22" s="137" t="s">
        <v>8</v>
      </c>
      <c r="FB22" s="32">
        <f t="shared" si="198"/>
        <v>0.53046589373282371</v>
      </c>
      <c r="FC22" s="138">
        <f t="shared" si="199"/>
        <v>3.3462588241050639E-2</v>
      </c>
      <c r="FD22" s="31">
        <f t="shared" si="200"/>
        <v>116621.46060375198</v>
      </c>
      <c r="FE22" s="139">
        <f t="shared" si="201"/>
        <v>0</v>
      </c>
      <c r="FF22" s="129" t="s">
        <v>8</v>
      </c>
      <c r="FG22" s="137" t="s">
        <v>8</v>
      </c>
      <c r="FH22" s="32">
        <f t="shared" si="202"/>
        <v>0.53046589373282371</v>
      </c>
      <c r="FI22" s="138">
        <f t="shared" si="203"/>
        <v>3.3462588241050639E-2</v>
      </c>
      <c r="FJ22" s="31">
        <f t="shared" si="204"/>
        <v>116621.46060375198</v>
      </c>
      <c r="FK22" s="139">
        <f t="shared" si="205"/>
        <v>0</v>
      </c>
      <c r="FL22" s="129" t="s">
        <v>8</v>
      </c>
      <c r="FM22" s="137" t="s">
        <v>8</v>
      </c>
      <c r="FN22" s="32">
        <f t="shared" si="206"/>
        <v>0.53046589373282371</v>
      </c>
      <c r="FO22" s="138">
        <f t="shared" si="207"/>
        <v>3.3462588241050639E-2</v>
      </c>
      <c r="FP22" s="31">
        <f t="shared" si="208"/>
        <v>116621.46060375198</v>
      </c>
      <c r="FQ22" s="139">
        <f t="shared" si="209"/>
        <v>0</v>
      </c>
      <c r="FR22" s="129" t="s">
        <v>8</v>
      </c>
      <c r="FS22" s="137" t="s">
        <v>8</v>
      </c>
      <c r="FT22" s="32">
        <f t="shared" si="210"/>
        <v>0.53046589373282371</v>
      </c>
      <c r="FU22" s="138">
        <f t="shared" si="211"/>
        <v>3.3462588241050639E-2</v>
      </c>
      <c r="FV22" s="31">
        <f t="shared" si="212"/>
        <v>116621.46060375198</v>
      </c>
      <c r="FW22" s="139">
        <f t="shared" si="213"/>
        <v>0</v>
      </c>
      <c r="FX22" s="129" t="s">
        <v>8</v>
      </c>
      <c r="FY22" s="137" t="s">
        <v>8</v>
      </c>
      <c r="FZ22" s="32">
        <f t="shared" si="214"/>
        <v>0.53046589373282371</v>
      </c>
      <c r="GA22" s="138">
        <f t="shared" si="215"/>
        <v>3.3462588241050639E-2</v>
      </c>
      <c r="GB22" s="31">
        <f t="shared" si="216"/>
        <v>116621.46060375198</v>
      </c>
      <c r="GC22" s="139">
        <f t="shared" si="217"/>
        <v>0</v>
      </c>
      <c r="GD22" s="129" t="s">
        <v>8</v>
      </c>
      <c r="GE22" s="137" t="s">
        <v>8</v>
      </c>
      <c r="GF22" s="32">
        <f t="shared" si="218"/>
        <v>0.53046589373282371</v>
      </c>
      <c r="GG22" s="138">
        <f t="shared" si="219"/>
        <v>3.3462588241050639E-2</v>
      </c>
      <c r="GH22" s="31">
        <f t="shared" si="220"/>
        <v>116621.46060375198</v>
      </c>
      <c r="GI22" s="141">
        <f t="shared" si="221"/>
        <v>0</v>
      </c>
      <c r="GJ22" s="156">
        <f t="shared" si="227"/>
        <v>434542.56437210029</v>
      </c>
      <c r="GK22" s="92">
        <f t="shared" si="222"/>
        <v>596320.73912625539</v>
      </c>
      <c r="GL22" s="207">
        <f t="shared" si="223"/>
        <v>0.53046589373282371</v>
      </c>
      <c r="GM22" s="219">
        <v>596320.74</v>
      </c>
      <c r="GN22" s="216"/>
    </row>
    <row r="23" spans="1:196" s="22" customFormat="1" ht="32.25" thickBot="1" x14ac:dyDescent="0.3">
      <c r="A23" s="190" t="s">
        <v>191</v>
      </c>
      <c r="B23" s="145" t="s">
        <v>8</v>
      </c>
      <c r="C23" s="145" t="s">
        <v>8</v>
      </c>
      <c r="D23" s="145" t="s">
        <v>8</v>
      </c>
      <c r="E23" s="145" t="s">
        <v>8</v>
      </c>
      <c r="F23" s="145" t="s">
        <v>8</v>
      </c>
      <c r="G23" s="130">
        <v>9392</v>
      </c>
      <c r="H23" s="131">
        <f>'Исходные данные'!D25</f>
        <v>21210575</v>
      </c>
      <c r="I23" s="132">
        <f>'Расчет КРП'!H23</f>
        <v>3.173877551020408</v>
      </c>
      <c r="J23" s="133" t="s">
        <v>8</v>
      </c>
      <c r="K23" s="134">
        <f t="shared" si="104"/>
        <v>0.41778055167692368</v>
      </c>
      <c r="L23" s="135">
        <f t="shared" si="105"/>
        <v>6937993.6862603882</v>
      </c>
      <c r="M23" s="136">
        <f t="shared" si="224"/>
        <v>0.55443685777786056</v>
      </c>
      <c r="N23" s="137" t="s">
        <v>8</v>
      </c>
      <c r="O23" s="138">
        <f t="shared" si="228"/>
        <v>-0.2478705660230005</v>
      </c>
      <c r="P23" s="31">
        <f t="shared" si="106"/>
        <v>0</v>
      </c>
      <c r="Q23" s="139">
        <f t="shared" si="107"/>
        <v>0</v>
      </c>
      <c r="R23" s="150" t="s">
        <v>8</v>
      </c>
      <c r="S23" s="137" t="s">
        <v>8</v>
      </c>
      <c r="T23" s="140">
        <f t="shared" si="225"/>
        <v>0.55443685777786056</v>
      </c>
      <c r="U23" s="138">
        <f t="shared" si="108"/>
        <v>-0.15956362382948469</v>
      </c>
      <c r="V23" s="50">
        <f t="shared" si="109"/>
        <v>0</v>
      </c>
      <c r="W23" s="139">
        <f t="shared" si="110"/>
        <v>0</v>
      </c>
      <c r="X23" s="129" t="s">
        <v>8</v>
      </c>
      <c r="Y23" s="137" t="s">
        <v>8</v>
      </c>
      <c r="Z23" s="140">
        <f t="shared" si="226"/>
        <v>0.55443685777786056</v>
      </c>
      <c r="AA23" s="138">
        <f t="shared" si="111"/>
        <v>-8.1244785102491446E-2</v>
      </c>
      <c r="AB23" s="50">
        <f t="shared" si="112"/>
        <v>0</v>
      </c>
      <c r="AC23" s="139">
        <f t="shared" si="113"/>
        <v>0</v>
      </c>
      <c r="AD23" s="129" t="s">
        <v>8</v>
      </c>
      <c r="AE23" s="137" t="s">
        <v>8</v>
      </c>
      <c r="AF23" s="140">
        <f t="shared" si="114"/>
        <v>0.55443685777786056</v>
      </c>
      <c r="AG23" s="138">
        <f t="shared" si="115"/>
        <v>-1.186412796232339E-2</v>
      </c>
      <c r="AH23" s="50">
        <f t="shared" si="116"/>
        <v>0</v>
      </c>
      <c r="AI23" s="139">
        <f t="shared" si="117"/>
        <v>0</v>
      </c>
      <c r="AJ23" s="129" t="s">
        <v>8</v>
      </c>
      <c r="AK23" s="137" t="s">
        <v>8</v>
      </c>
      <c r="AL23" s="140">
        <f t="shared" si="118"/>
        <v>0.55443685777786056</v>
      </c>
      <c r="AM23" s="138">
        <f t="shared" si="119"/>
        <v>9.4916241960137926E-3</v>
      </c>
      <c r="AN23" s="50">
        <f t="shared" si="120"/>
        <v>979526.53305586963</v>
      </c>
      <c r="AO23" s="139">
        <f t="shared" si="121"/>
        <v>0</v>
      </c>
      <c r="AP23" s="129" t="s">
        <v>8</v>
      </c>
      <c r="AQ23" s="137" t="s">
        <v>8</v>
      </c>
      <c r="AR23" s="140">
        <f t="shared" si="122"/>
        <v>0.55443685777786056</v>
      </c>
      <c r="AS23" s="138">
        <f t="shared" si="123"/>
        <v>9.4916241960137926E-3</v>
      </c>
      <c r="AT23" s="50">
        <f t="shared" si="124"/>
        <v>979526.53305586963</v>
      </c>
      <c r="AU23" s="139">
        <f t="shared" si="125"/>
        <v>0</v>
      </c>
      <c r="AV23" s="129" t="s">
        <v>8</v>
      </c>
      <c r="AW23" s="137" t="s">
        <v>8</v>
      </c>
      <c r="AX23" s="140">
        <f t="shared" si="126"/>
        <v>0.55443685777786056</v>
      </c>
      <c r="AY23" s="138">
        <f t="shared" si="127"/>
        <v>9.4916241960137926E-3</v>
      </c>
      <c r="AZ23" s="50">
        <f t="shared" si="128"/>
        <v>979526.53305586963</v>
      </c>
      <c r="BA23" s="139">
        <f t="shared" si="129"/>
        <v>0</v>
      </c>
      <c r="BB23" s="129" t="s">
        <v>8</v>
      </c>
      <c r="BC23" s="137" t="s">
        <v>8</v>
      </c>
      <c r="BD23" s="140">
        <f t="shared" si="130"/>
        <v>0.55443685777786056</v>
      </c>
      <c r="BE23" s="138">
        <f t="shared" si="131"/>
        <v>9.4916241960137926E-3</v>
      </c>
      <c r="BF23" s="50">
        <f t="shared" si="132"/>
        <v>979526.53305586963</v>
      </c>
      <c r="BG23" s="139">
        <f t="shared" si="133"/>
        <v>0</v>
      </c>
      <c r="BH23" s="129" t="s">
        <v>8</v>
      </c>
      <c r="BI23" s="137" t="s">
        <v>8</v>
      </c>
      <c r="BJ23" s="140">
        <f t="shared" si="134"/>
        <v>0.55443685777786056</v>
      </c>
      <c r="BK23" s="138">
        <f t="shared" si="135"/>
        <v>9.4916241960137926E-3</v>
      </c>
      <c r="BL23" s="50">
        <f t="shared" si="136"/>
        <v>979526.53305586963</v>
      </c>
      <c r="BM23" s="139">
        <f t="shared" si="137"/>
        <v>0</v>
      </c>
      <c r="BN23" s="129" t="s">
        <v>8</v>
      </c>
      <c r="BO23" s="137" t="s">
        <v>8</v>
      </c>
      <c r="BP23" s="140">
        <f t="shared" si="138"/>
        <v>0.55443685777786056</v>
      </c>
      <c r="BQ23" s="138">
        <f t="shared" si="139"/>
        <v>9.4916241960137926E-3</v>
      </c>
      <c r="BR23" s="50">
        <f t="shared" si="140"/>
        <v>979526.53305586963</v>
      </c>
      <c r="BS23" s="141">
        <f t="shared" si="141"/>
        <v>0</v>
      </c>
      <c r="BT23" s="129" t="s">
        <v>8</v>
      </c>
      <c r="BU23" s="137" t="s">
        <v>8</v>
      </c>
      <c r="BV23" s="140">
        <f t="shared" si="142"/>
        <v>0.55443685777786056</v>
      </c>
      <c r="BW23" s="138">
        <f t="shared" si="143"/>
        <v>9.4916241960137926E-3</v>
      </c>
      <c r="BX23" s="50">
        <f t="shared" si="144"/>
        <v>979526.53305586963</v>
      </c>
      <c r="BY23" s="141">
        <f t="shared" si="145"/>
        <v>0</v>
      </c>
      <c r="BZ23" s="129" t="s">
        <v>8</v>
      </c>
      <c r="CA23" s="137" t="s">
        <v>8</v>
      </c>
      <c r="CB23" s="140">
        <f t="shared" si="146"/>
        <v>0.55443685777786056</v>
      </c>
      <c r="CC23" s="138">
        <f t="shared" si="147"/>
        <v>9.4916241960137926E-3</v>
      </c>
      <c r="CD23" s="50">
        <f t="shared" si="148"/>
        <v>979526.53305586963</v>
      </c>
      <c r="CE23" s="141">
        <f t="shared" si="149"/>
        <v>0</v>
      </c>
      <c r="CF23" s="129" t="s">
        <v>8</v>
      </c>
      <c r="CG23" s="137" t="s">
        <v>8</v>
      </c>
      <c r="CH23" s="140">
        <f t="shared" si="150"/>
        <v>0.55443685777786056</v>
      </c>
      <c r="CI23" s="138">
        <f t="shared" si="151"/>
        <v>9.4916241960137926E-3</v>
      </c>
      <c r="CJ23" s="50">
        <f t="shared" si="152"/>
        <v>979526.53305586963</v>
      </c>
      <c r="CK23" s="141">
        <f t="shared" si="153"/>
        <v>0</v>
      </c>
      <c r="CL23" s="129" t="s">
        <v>8</v>
      </c>
      <c r="CM23" s="137" t="s">
        <v>8</v>
      </c>
      <c r="CN23" s="140">
        <f t="shared" si="154"/>
        <v>0.55443685777786056</v>
      </c>
      <c r="CO23" s="138">
        <f t="shared" si="155"/>
        <v>9.4916241960137926E-3</v>
      </c>
      <c r="CP23" s="50">
        <f t="shared" si="156"/>
        <v>979526.53305586963</v>
      </c>
      <c r="CQ23" s="141">
        <f t="shared" si="157"/>
        <v>0</v>
      </c>
      <c r="CR23" s="129" t="s">
        <v>8</v>
      </c>
      <c r="CS23" s="137" t="s">
        <v>8</v>
      </c>
      <c r="CT23" s="140">
        <f t="shared" si="158"/>
        <v>0.55443685777786056</v>
      </c>
      <c r="CU23" s="138">
        <f t="shared" si="159"/>
        <v>9.4916241960137926E-3</v>
      </c>
      <c r="CV23" s="50">
        <f t="shared" si="160"/>
        <v>979526.53305586963</v>
      </c>
      <c r="CW23" s="141">
        <f t="shared" si="161"/>
        <v>0</v>
      </c>
      <c r="CX23" s="129" t="s">
        <v>8</v>
      </c>
      <c r="CY23" s="137" t="s">
        <v>8</v>
      </c>
      <c r="CZ23" s="140">
        <f t="shared" si="162"/>
        <v>0.55443685777786056</v>
      </c>
      <c r="DA23" s="138">
        <f t="shared" si="163"/>
        <v>9.4916241960137926E-3</v>
      </c>
      <c r="DB23" s="50">
        <f t="shared" si="164"/>
        <v>979526.53305586963</v>
      </c>
      <c r="DC23" s="141">
        <f t="shared" si="165"/>
        <v>0</v>
      </c>
      <c r="DD23" s="129" t="s">
        <v>8</v>
      </c>
      <c r="DE23" s="137" t="s">
        <v>8</v>
      </c>
      <c r="DF23" s="140">
        <f t="shared" si="166"/>
        <v>0.55443685777786056</v>
      </c>
      <c r="DG23" s="138">
        <f t="shared" si="167"/>
        <v>9.4916241960137926E-3</v>
      </c>
      <c r="DH23" s="50">
        <f t="shared" si="168"/>
        <v>979526.53305586963</v>
      </c>
      <c r="DI23" s="141">
        <f t="shared" si="169"/>
        <v>0</v>
      </c>
      <c r="DJ23" s="129" t="s">
        <v>8</v>
      </c>
      <c r="DK23" s="137" t="s">
        <v>8</v>
      </c>
      <c r="DL23" s="140">
        <f t="shared" si="170"/>
        <v>0.55443685777786056</v>
      </c>
      <c r="DM23" s="138">
        <f t="shared" si="171"/>
        <v>9.4916241960137926E-3</v>
      </c>
      <c r="DN23" s="50">
        <f t="shared" si="172"/>
        <v>979526.53305586963</v>
      </c>
      <c r="DO23" s="141">
        <f t="shared" si="173"/>
        <v>0</v>
      </c>
      <c r="DP23" s="129" t="s">
        <v>8</v>
      </c>
      <c r="DQ23" s="137" t="s">
        <v>8</v>
      </c>
      <c r="DR23" s="140">
        <f t="shared" si="174"/>
        <v>0.55443685777786056</v>
      </c>
      <c r="DS23" s="138">
        <f t="shared" si="175"/>
        <v>9.4916241960137926E-3</v>
      </c>
      <c r="DT23" s="50">
        <f t="shared" si="176"/>
        <v>979526.53305586963</v>
      </c>
      <c r="DU23" s="141">
        <f t="shared" si="177"/>
        <v>0</v>
      </c>
      <c r="DV23" s="129" t="s">
        <v>8</v>
      </c>
      <c r="DW23" s="137" t="s">
        <v>8</v>
      </c>
      <c r="DX23" s="32">
        <f t="shared" si="178"/>
        <v>0.55443685777786056</v>
      </c>
      <c r="DY23" s="138">
        <f t="shared" si="179"/>
        <v>9.4916241960137926E-3</v>
      </c>
      <c r="DZ23" s="31">
        <f t="shared" si="180"/>
        <v>979526.53305586963</v>
      </c>
      <c r="EA23" s="139">
        <f t="shared" si="181"/>
        <v>0</v>
      </c>
      <c r="EB23" s="129" t="s">
        <v>8</v>
      </c>
      <c r="EC23" s="137" t="s">
        <v>8</v>
      </c>
      <c r="ED23" s="32">
        <f t="shared" si="182"/>
        <v>0.55443685777786056</v>
      </c>
      <c r="EE23" s="138">
        <f t="shared" si="183"/>
        <v>9.4916241960137926E-3</v>
      </c>
      <c r="EF23" s="31">
        <f t="shared" si="184"/>
        <v>979526.53305586963</v>
      </c>
      <c r="EG23" s="139">
        <f t="shared" si="185"/>
        <v>0</v>
      </c>
      <c r="EH23" s="129" t="s">
        <v>8</v>
      </c>
      <c r="EI23" s="137" t="s">
        <v>8</v>
      </c>
      <c r="EJ23" s="32">
        <f t="shared" si="186"/>
        <v>0.55443685777786056</v>
      </c>
      <c r="EK23" s="138">
        <f t="shared" si="187"/>
        <v>9.4916241960137926E-3</v>
      </c>
      <c r="EL23" s="31">
        <f t="shared" si="188"/>
        <v>979526.53305586963</v>
      </c>
      <c r="EM23" s="139">
        <f t="shared" si="189"/>
        <v>0</v>
      </c>
      <c r="EN23" s="129" t="s">
        <v>8</v>
      </c>
      <c r="EO23" s="137" t="s">
        <v>8</v>
      </c>
      <c r="EP23" s="32">
        <f t="shared" si="190"/>
        <v>0.55443685777786056</v>
      </c>
      <c r="EQ23" s="138">
        <f t="shared" si="191"/>
        <v>9.4916241960137926E-3</v>
      </c>
      <c r="ER23" s="31">
        <f t="shared" si="192"/>
        <v>979526.53305586963</v>
      </c>
      <c r="ES23" s="139">
        <f t="shared" si="193"/>
        <v>0</v>
      </c>
      <c r="ET23" s="129" t="s">
        <v>8</v>
      </c>
      <c r="EU23" s="137" t="s">
        <v>8</v>
      </c>
      <c r="EV23" s="32">
        <f t="shared" si="194"/>
        <v>0.55443685777786056</v>
      </c>
      <c r="EW23" s="138">
        <f t="shared" si="195"/>
        <v>9.4916241960137926E-3</v>
      </c>
      <c r="EX23" s="31">
        <f t="shared" si="196"/>
        <v>979526.53305586963</v>
      </c>
      <c r="EY23" s="139">
        <f t="shared" si="197"/>
        <v>0</v>
      </c>
      <c r="EZ23" s="129" t="s">
        <v>8</v>
      </c>
      <c r="FA23" s="137" t="s">
        <v>8</v>
      </c>
      <c r="FB23" s="32">
        <f t="shared" si="198"/>
        <v>0.55443685777786056</v>
      </c>
      <c r="FC23" s="138">
        <f t="shared" si="199"/>
        <v>9.4916241960137926E-3</v>
      </c>
      <c r="FD23" s="31">
        <f t="shared" si="200"/>
        <v>979526.53305586963</v>
      </c>
      <c r="FE23" s="139">
        <f t="shared" si="201"/>
        <v>0</v>
      </c>
      <c r="FF23" s="129" t="s">
        <v>8</v>
      </c>
      <c r="FG23" s="137" t="s">
        <v>8</v>
      </c>
      <c r="FH23" s="32">
        <f t="shared" si="202"/>
        <v>0.55443685777786056</v>
      </c>
      <c r="FI23" s="138">
        <f t="shared" si="203"/>
        <v>9.4916241960137926E-3</v>
      </c>
      <c r="FJ23" s="31">
        <f t="shared" si="204"/>
        <v>979526.53305586963</v>
      </c>
      <c r="FK23" s="139">
        <f t="shared" si="205"/>
        <v>0</v>
      </c>
      <c r="FL23" s="129" t="s">
        <v>8</v>
      </c>
      <c r="FM23" s="137" t="s">
        <v>8</v>
      </c>
      <c r="FN23" s="32">
        <f t="shared" si="206"/>
        <v>0.55443685777786056</v>
      </c>
      <c r="FO23" s="138">
        <f t="shared" si="207"/>
        <v>9.4916241960137926E-3</v>
      </c>
      <c r="FP23" s="31">
        <f t="shared" si="208"/>
        <v>979526.53305586963</v>
      </c>
      <c r="FQ23" s="139">
        <f t="shared" si="209"/>
        <v>0</v>
      </c>
      <c r="FR23" s="129" t="s">
        <v>8</v>
      </c>
      <c r="FS23" s="137" t="s">
        <v>8</v>
      </c>
      <c r="FT23" s="32">
        <f t="shared" si="210"/>
        <v>0.55443685777786056</v>
      </c>
      <c r="FU23" s="138">
        <f t="shared" si="211"/>
        <v>9.4916241960137926E-3</v>
      </c>
      <c r="FV23" s="31">
        <f t="shared" si="212"/>
        <v>979526.53305586963</v>
      </c>
      <c r="FW23" s="139">
        <f t="shared" si="213"/>
        <v>0</v>
      </c>
      <c r="FX23" s="129" t="s">
        <v>8</v>
      </c>
      <c r="FY23" s="137" t="s">
        <v>8</v>
      </c>
      <c r="FZ23" s="32">
        <f t="shared" si="214"/>
        <v>0.55443685777786056</v>
      </c>
      <c r="GA23" s="138">
        <f t="shared" si="215"/>
        <v>9.4916241960137926E-3</v>
      </c>
      <c r="GB23" s="31">
        <f t="shared" si="216"/>
        <v>979526.53305586963</v>
      </c>
      <c r="GC23" s="139">
        <f t="shared" si="217"/>
        <v>0</v>
      </c>
      <c r="GD23" s="129" t="s">
        <v>8</v>
      </c>
      <c r="GE23" s="137" t="s">
        <v>8</v>
      </c>
      <c r="GF23" s="32">
        <f t="shared" si="218"/>
        <v>0.55443685777786056</v>
      </c>
      <c r="GG23" s="138">
        <f t="shared" si="219"/>
        <v>9.4916241960137926E-3</v>
      </c>
      <c r="GH23" s="31">
        <f t="shared" si="220"/>
        <v>979526.53305586963</v>
      </c>
      <c r="GI23" s="141">
        <f t="shared" si="221"/>
        <v>0</v>
      </c>
      <c r="GJ23" s="156">
        <f t="shared" si="227"/>
        <v>0</v>
      </c>
      <c r="GK23" s="92">
        <f t="shared" si="222"/>
        <v>6937993.6862603882</v>
      </c>
      <c r="GL23" s="207">
        <f t="shared" si="223"/>
        <v>0.55443685777786056</v>
      </c>
      <c r="GM23" s="219">
        <v>6937993.6799999997</v>
      </c>
      <c r="GN23" s="216"/>
    </row>
    <row r="24" spans="1:196" s="26" customFormat="1" ht="16.5" thickBot="1" x14ac:dyDescent="0.3">
      <c r="A24" s="96" t="s">
        <v>6</v>
      </c>
      <c r="B24" s="116">
        <v>30477193</v>
      </c>
      <c r="C24" s="114">
        <v>42</v>
      </c>
      <c r="D24" s="78">
        <f>B24*C24/100</f>
        <v>12800421.060000001</v>
      </c>
      <c r="E24" s="103">
        <f>100-C24</f>
        <v>58</v>
      </c>
      <c r="F24" s="78">
        <f>B24-D24</f>
        <v>17676771.939999998</v>
      </c>
      <c r="G24" s="102">
        <f>SUM(G9:G23)</f>
        <v>17328</v>
      </c>
      <c r="H24" s="102">
        <f>SUM(H9:H23)</f>
        <v>29512392</v>
      </c>
      <c r="I24" s="42" t="s">
        <v>8</v>
      </c>
      <c r="J24" s="163">
        <f>H24/G24</f>
        <v>1703.1620498614959</v>
      </c>
      <c r="K24" s="113" t="s">
        <v>8</v>
      </c>
      <c r="L24" s="75">
        <f>SUM(L9:L23)</f>
        <v>12800421.059999999</v>
      </c>
      <c r="M24" s="71" t="s">
        <v>8</v>
      </c>
      <c r="N24" s="43">
        <f>(SUMIF(M9:M23,"&lt;1")+1)/(COUNTIFS(M9:M23,"&lt;1")+1)</f>
        <v>0.30656629175486005</v>
      </c>
      <c r="O24" s="44" t="s">
        <v>8</v>
      </c>
      <c r="P24" s="41">
        <f>SUM(P9:P23)</f>
        <v>6049270.2109597884</v>
      </c>
      <c r="Q24" s="41">
        <f>SUM(Q9:Q23)</f>
        <v>6049270.2109597884</v>
      </c>
      <c r="R24" s="80">
        <f>F24-Q24</f>
        <v>11627501.729040209</v>
      </c>
      <c r="S24" s="43">
        <f>(SUMIF(T9:T23,"&lt;1")+1)/(COUNTIFS(T9:T23,"&lt;1")+1)</f>
        <v>0.39487323394837587</v>
      </c>
      <c r="T24" s="44" t="s">
        <v>8</v>
      </c>
      <c r="U24" s="44" t="s">
        <v>8</v>
      </c>
      <c r="V24" s="41">
        <f>SUM(V9:V23)</f>
        <v>5517170.5211009048</v>
      </c>
      <c r="W24" s="41">
        <f>SUM(W9:W23)</f>
        <v>5517170.5211009048</v>
      </c>
      <c r="X24" s="80">
        <f>R24-W24</f>
        <v>6110331.2079393044</v>
      </c>
      <c r="Y24" s="43">
        <f>(SUMIF(Z9:Z23,"&lt;1")+1)/(COUNTIFS(Z9:Z23,"&lt;1")+1)</f>
        <v>0.47319207267536911</v>
      </c>
      <c r="Z24" s="44" t="s">
        <v>8</v>
      </c>
      <c r="AA24" s="44" t="s">
        <v>8</v>
      </c>
      <c r="AB24" s="41">
        <f>SUM(AB9:AB23)</f>
        <v>4612530.3106260318</v>
      </c>
      <c r="AC24" s="41">
        <f>SUM(AC9:AC23)</f>
        <v>4612530.3106260318</v>
      </c>
      <c r="AD24" s="80">
        <f>X24-AC24</f>
        <v>1497800.8973132726</v>
      </c>
      <c r="AE24" s="43">
        <f>(SUMIF(AF9:AF23,"&lt;1")+1)/(COUNTIFS(AF9:AF23,"&lt;1")+1)</f>
        <v>0.54257272981553717</v>
      </c>
      <c r="AF24" s="44" t="s">
        <v>8</v>
      </c>
      <c r="AG24" s="44" t="s">
        <v>8</v>
      </c>
      <c r="AH24" s="41">
        <f>SUM(AH9:AH23)</f>
        <v>4077108.6322388984</v>
      </c>
      <c r="AI24" s="41">
        <f>SUM(AI9:AI23)</f>
        <v>1497800.8973132723</v>
      </c>
      <c r="AJ24" s="80">
        <f>AD24-AI24</f>
        <v>0</v>
      </c>
      <c r="AK24" s="43">
        <f>(SUMIF(AL9:AL23,"&lt;1")+1)/(COUNTIFS(AL9:AL23,"&lt;1")+1)</f>
        <v>0.56392848197387435</v>
      </c>
      <c r="AL24" s="44" t="s">
        <v>8</v>
      </c>
      <c r="AM24" s="44" t="s">
        <v>8</v>
      </c>
      <c r="AN24" s="41">
        <f>SUM(AN9:AN23)</f>
        <v>4708727.5104028154</v>
      </c>
      <c r="AO24" s="41">
        <f>SUM(AO9:AO23)</f>
        <v>0</v>
      </c>
      <c r="AP24" s="80">
        <f>AJ24-AO24</f>
        <v>0</v>
      </c>
      <c r="AQ24" s="43">
        <f>(SUMIF(AR9:AR23,"&lt;1")+1)/(COUNTIFS(AR9:AR23,"&lt;1")+1)</f>
        <v>0.56392848197387435</v>
      </c>
      <c r="AR24" s="44" t="s">
        <v>8</v>
      </c>
      <c r="AS24" s="44" t="s">
        <v>8</v>
      </c>
      <c r="AT24" s="41">
        <f>SUM(AT9:AT23)</f>
        <v>4708727.5104028154</v>
      </c>
      <c r="AU24" s="78">
        <f>SUM(AU9:AU23)</f>
        <v>0</v>
      </c>
      <c r="AV24" s="80">
        <f>AP24-AU24</f>
        <v>0</v>
      </c>
      <c r="AW24" s="43">
        <f>(SUMIF(AX9:AX23,"&lt;1")+1)/(COUNTIFS(AX9:AX23,"&lt;1")+1)</f>
        <v>0.56392848197387435</v>
      </c>
      <c r="AX24" s="44" t="s">
        <v>8</v>
      </c>
      <c r="AY24" s="44" t="s">
        <v>8</v>
      </c>
      <c r="AZ24" s="41">
        <f>SUM(AZ9:AZ23)</f>
        <v>4708727.5104028154</v>
      </c>
      <c r="BA24" s="41">
        <f>SUM(BA9:BA23)</f>
        <v>0</v>
      </c>
      <c r="BB24" s="80">
        <f>AV24-BA24</f>
        <v>0</v>
      </c>
      <c r="BC24" s="43">
        <f>(SUMIF(BD9:BD23,"&lt;1")+1)/(COUNTIFS(BD9:BD23,"&lt;1")+1)</f>
        <v>0.56392848197387435</v>
      </c>
      <c r="BD24" s="44" t="s">
        <v>8</v>
      </c>
      <c r="BE24" s="44" t="s">
        <v>8</v>
      </c>
      <c r="BF24" s="41">
        <f>SUM(BF9:BF23)</f>
        <v>4708727.5104028154</v>
      </c>
      <c r="BG24" s="41">
        <f>SUM(BG9:BG23)</f>
        <v>0</v>
      </c>
      <c r="BH24" s="80">
        <f>BB24-BG24</f>
        <v>0</v>
      </c>
      <c r="BI24" s="43">
        <f>(SUMIF(BJ9:BJ23,"&lt;1")+1)/(COUNTIFS(BJ9:BJ23,"&lt;1")+1)</f>
        <v>0.56392848197387435</v>
      </c>
      <c r="BJ24" s="44" t="s">
        <v>8</v>
      </c>
      <c r="BK24" s="44" t="s">
        <v>8</v>
      </c>
      <c r="BL24" s="41">
        <f>SUM(BL9:BL23)</f>
        <v>4708727.5104028154</v>
      </c>
      <c r="BM24" s="41">
        <f>SUM(BM9:BM23)</f>
        <v>0</v>
      </c>
      <c r="BN24" s="80">
        <f>BH24-BM24</f>
        <v>0</v>
      </c>
      <c r="BO24" s="43">
        <f>(SUMIF(BP9:BP23,"&lt;1")+1)/(COUNTIFS(BP9:BP23,"&lt;1")+1)</f>
        <v>0.56392848197387435</v>
      </c>
      <c r="BP24" s="44" t="s">
        <v>8</v>
      </c>
      <c r="BQ24" s="44" t="s">
        <v>8</v>
      </c>
      <c r="BR24" s="41">
        <f>SUM(BR9:BR23)</f>
        <v>4708727.5104028154</v>
      </c>
      <c r="BS24" s="41">
        <f>SUM(BS9:BS23)</f>
        <v>0</v>
      </c>
      <c r="BT24" s="80">
        <f>BN24-BS24</f>
        <v>0</v>
      </c>
      <c r="BU24" s="43">
        <f>(SUMIF(BV9:BV23,"&lt;1")+1)/(COUNTIFS(BV9:BV23,"&lt;1")+1)</f>
        <v>0.56392848197387435</v>
      </c>
      <c r="BV24" s="44" t="s">
        <v>8</v>
      </c>
      <c r="BW24" s="44" t="s">
        <v>8</v>
      </c>
      <c r="BX24" s="41">
        <f>SUM(BX9:BX23)</f>
        <v>4708727.5104028154</v>
      </c>
      <c r="BY24" s="41">
        <f>SUM(BY9:BY23)</f>
        <v>0</v>
      </c>
      <c r="BZ24" s="80">
        <f>BT24-BY24</f>
        <v>0</v>
      </c>
      <c r="CA24" s="43">
        <f>(SUMIF(CB9:CB23,"&lt;1")+1)/(COUNTIFS(CB9:CB23,"&lt;1")+1)</f>
        <v>0.56392848197387435</v>
      </c>
      <c r="CB24" s="44" t="s">
        <v>8</v>
      </c>
      <c r="CC24" s="44" t="s">
        <v>8</v>
      </c>
      <c r="CD24" s="41">
        <f>SUM(CD9:CD23)</f>
        <v>4708727.5104028154</v>
      </c>
      <c r="CE24" s="41">
        <f>SUM(CE9:CE23)</f>
        <v>0</v>
      </c>
      <c r="CF24" s="80">
        <f>BZ24-CE24</f>
        <v>0</v>
      </c>
      <c r="CG24" s="43">
        <f>(SUMIF(CH9:CH23,"&lt;1")+1)/(COUNTIFS(CH9:CH23,"&lt;1")+1)</f>
        <v>0.56392848197387435</v>
      </c>
      <c r="CH24" s="44" t="s">
        <v>8</v>
      </c>
      <c r="CI24" s="44" t="s">
        <v>8</v>
      </c>
      <c r="CJ24" s="41">
        <f>SUM(CJ9:CJ23)</f>
        <v>4708727.5104028154</v>
      </c>
      <c r="CK24" s="41">
        <f>SUM(CK9:CK23)</f>
        <v>0</v>
      </c>
      <c r="CL24" s="80">
        <f>CF24-CK24</f>
        <v>0</v>
      </c>
      <c r="CM24" s="43">
        <f>(SUMIF(CN9:CN23,"&lt;1")+1)/(COUNTIFS(CN9:CN23,"&lt;1")+1)</f>
        <v>0.56392848197387435</v>
      </c>
      <c r="CN24" s="44" t="s">
        <v>8</v>
      </c>
      <c r="CO24" s="44" t="s">
        <v>8</v>
      </c>
      <c r="CP24" s="41">
        <f>SUM(CP9:CP23)</f>
        <v>4708727.5104028154</v>
      </c>
      <c r="CQ24" s="41">
        <f>SUM(CQ9:CQ23)</f>
        <v>0</v>
      </c>
      <c r="CR24" s="80">
        <f>CL24-CQ24</f>
        <v>0</v>
      </c>
      <c r="CS24" s="43">
        <f>(SUMIF(CT9:CT23,"&lt;1")+1)/(COUNTIFS(CT9:CT23,"&lt;1")+1)</f>
        <v>0.56392848197387435</v>
      </c>
      <c r="CT24" s="44" t="s">
        <v>8</v>
      </c>
      <c r="CU24" s="44" t="s">
        <v>8</v>
      </c>
      <c r="CV24" s="41">
        <f>SUM(CV9:CV23)</f>
        <v>4708727.5104028154</v>
      </c>
      <c r="CW24" s="41">
        <f>SUM(CW9:CW23)</f>
        <v>0</v>
      </c>
      <c r="CX24" s="80">
        <f>CR24-CW24</f>
        <v>0</v>
      </c>
      <c r="CY24" s="43">
        <f>(SUMIF(CZ9:CZ23,"&lt;1")+1)/(COUNTIFS(CZ9:CZ23,"&lt;1")+1)</f>
        <v>0.56392848197387435</v>
      </c>
      <c r="CZ24" s="44" t="s">
        <v>8</v>
      </c>
      <c r="DA24" s="44" t="s">
        <v>8</v>
      </c>
      <c r="DB24" s="41">
        <f>SUM(DB9:DB23)</f>
        <v>4708727.5104028154</v>
      </c>
      <c r="DC24" s="41">
        <f>SUM(DC9:DC23)</f>
        <v>0</v>
      </c>
      <c r="DD24" s="80">
        <f>CX24-DC24</f>
        <v>0</v>
      </c>
      <c r="DE24" s="43">
        <f>(SUMIF(DF9:DF23,"&lt;1")+1)/(COUNTIFS(DF9:DF23,"&lt;1")+1)</f>
        <v>0.56392848197387435</v>
      </c>
      <c r="DF24" s="44" t="s">
        <v>8</v>
      </c>
      <c r="DG24" s="44" t="s">
        <v>8</v>
      </c>
      <c r="DH24" s="41">
        <f>SUM(DH9:DH23)</f>
        <v>4708727.5104028154</v>
      </c>
      <c r="DI24" s="41">
        <f>SUM(DI9:DI23)</f>
        <v>0</v>
      </c>
      <c r="DJ24" s="80">
        <f>DD24-DI24</f>
        <v>0</v>
      </c>
      <c r="DK24" s="43">
        <f>(SUMIF(DL9:DL23,"&lt;1")+1)/(COUNTIFS(DL9:DL23,"&lt;1")+1)</f>
        <v>0.56392848197387435</v>
      </c>
      <c r="DL24" s="44" t="s">
        <v>8</v>
      </c>
      <c r="DM24" s="44" t="s">
        <v>8</v>
      </c>
      <c r="DN24" s="41">
        <f>SUM(DN9:DN23)</f>
        <v>4708727.5104028154</v>
      </c>
      <c r="DO24" s="41">
        <f>SUM(DO9:DO23)</f>
        <v>0</v>
      </c>
      <c r="DP24" s="80">
        <f>DJ24-DO24</f>
        <v>0</v>
      </c>
      <c r="DQ24" s="43">
        <f>(SUMIF(DR9:DR23,"&lt;1")+1)/(COUNTIFS(DR9:DR23,"&lt;1")+1)</f>
        <v>0.56392848197387435</v>
      </c>
      <c r="DR24" s="44" t="s">
        <v>8</v>
      </c>
      <c r="DS24" s="44" t="s">
        <v>8</v>
      </c>
      <c r="DT24" s="41">
        <f>SUM(DT9:DT23)</f>
        <v>4708727.5104028154</v>
      </c>
      <c r="DU24" s="41">
        <f>SUM(DU9:DU23)</f>
        <v>0</v>
      </c>
      <c r="DV24" s="80">
        <f>DP24-DU24</f>
        <v>0</v>
      </c>
      <c r="DW24" s="43">
        <f>(SUMIF(DX9:DX23,"&lt;1")+1)/(COUNTIFS(DX9:DX23,"&lt;1")+1)</f>
        <v>0.56392848197387435</v>
      </c>
      <c r="DX24" s="44" t="s">
        <v>8</v>
      </c>
      <c r="DY24" s="44" t="s">
        <v>8</v>
      </c>
      <c r="DZ24" s="142">
        <f>SUM(DZ9:DZ23)</f>
        <v>4708727.5104028154</v>
      </c>
      <c r="EA24" s="41">
        <f>SUM(EA9:EA23)</f>
        <v>0</v>
      </c>
      <c r="EB24" s="80">
        <f>DV24-EA24</f>
        <v>0</v>
      </c>
      <c r="EC24" s="43">
        <f>(SUMIF(ED9:ED23,"&lt;1")+1)/(COUNTIFS(ED9:ED23,"&lt;1")+1)</f>
        <v>0.56392848197387435</v>
      </c>
      <c r="ED24" s="44" t="s">
        <v>8</v>
      </c>
      <c r="EE24" s="44" t="s">
        <v>8</v>
      </c>
      <c r="EF24" s="142">
        <f>SUM(EF9:EF23)</f>
        <v>4708727.5104028154</v>
      </c>
      <c r="EG24" s="41">
        <f>SUM(EG9:EG23)</f>
        <v>0</v>
      </c>
      <c r="EH24" s="80">
        <f>EB24-EG24</f>
        <v>0</v>
      </c>
      <c r="EI24" s="43">
        <f>(SUMIF(EJ9:EJ23,"&lt;1")+1)/(COUNTIFS(EJ9:EJ23,"&lt;1")+1)</f>
        <v>0.56392848197387435</v>
      </c>
      <c r="EJ24" s="44" t="s">
        <v>8</v>
      </c>
      <c r="EK24" s="44" t="s">
        <v>8</v>
      </c>
      <c r="EL24" s="142">
        <f>SUM(EL9:EL23)</f>
        <v>4708727.5104028154</v>
      </c>
      <c r="EM24" s="41">
        <f>SUM(EM9:EM23)</f>
        <v>0</v>
      </c>
      <c r="EN24" s="80">
        <f>EH24-EM24</f>
        <v>0</v>
      </c>
      <c r="EO24" s="43">
        <f>(SUMIF(EP9:EP23,"&lt;1")+1)/(COUNTIFS(EP9:EP23,"&lt;1")+1)</f>
        <v>0.56392848197387435</v>
      </c>
      <c r="EP24" s="44" t="s">
        <v>8</v>
      </c>
      <c r="EQ24" s="44" t="s">
        <v>8</v>
      </c>
      <c r="ER24" s="142">
        <f>SUM(ER9:ER23)</f>
        <v>4708727.5104028154</v>
      </c>
      <c r="ES24" s="41">
        <f>SUM(ES9:ES23)</f>
        <v>0</v>
      </c>
      <c r="ET24" s="80">
        <f>EN24-ES24</f>
        <v>0</v>
      </c>
      <c r="EU24" s="43">
        <f>(SUMIF(EV9:EV23,"&lt;1")+1)/(COUNTIFS(EV9:EV23,"&lt;1")+1)</f>
        <v>0.56392848197387435</v>
      </c>
      <c r="EV24" s="44" t="s">
        <v>8</v>
      </c>
      <c r="EW24" s="44" t="s">
        <v>8</v>
      </c>
      <c r="EX24" s="142">
        <f>SUM(EX9:EX23)</f>
        <v>4708727.5104028154</v>
      </c>
      <c r="EY24" s="41">
        <f>SUM(EY9:EY23)</f>
        <v>0</v>
      </c>
      <c r="EZ24" s="80">
        <f>ET24-EY24</f>
        <v>0</v>
      </c>
      <c r="FA24" s="43">
        <f>(SUMIF(FB9:FB23,"&lt;1")+1)/(COUNTIFS(FB9:FB23,"&lt;1")+1)</f>
        <v>0.56392848197387435</v>
      </c>
      <c r="FB24" s="44" t="s">
        <v>8</v>
      </c>
      <c r="FC24" s="44" t="s">
        <v>8</v>
      </c>
      <c r="FD24" s="142">
        <f>SUM(FD9:FD23)</f>
        <v>4708727.5104028154</v>
      </c>
      <c r="FE24" s="41">
        <f>SUM(FE9:FE23)</f>
        <v>0</v>
      </c>
      <c r="FF24" s="80">
        <f>EZ24-FE24</f>
        <v>0</v>
      </c>
      <c r="FG24" s="43">
        <f>(SUMIF(FH9:FH23,"&lt;1")+1)/(COUNTIFS(FH9:FH23,"&lt;1")+1)</f>
        <v>0.56392848197387435</v>
      </c>
      <c r="FH24" s="44" t="s">
        <v>8</v>
      </c>
      <c r="FI24" s="44" t="s">
        <v>8</v>
      </c>
      <c r="FJ24" s="142">
        <f>SUM(FJ9:FJ23)</f>
        <v>4708727.5104028154</v>
      </c>
      <c r="FK24" s="41">
        <f>SUM(FK9:FK23)</f>
        <v>0</v>
      </c>
      <c r="FL24" s="80">
        <f>FF24-FK24</f>
        <v>0</v>
      </c>
      <c r="FM24" s="43">
        <f>(SUMIF(FN9:FN23,"&lt;1")+1)/(COUNTIFS(FN9:FN23,"&lt;1")+1)</f>
        <v>0.56392848197387435</v>
      </c>
      <c r="FN24" s="44" t="s">
        <v>8</v>
      </c>
      <c r="FO24" s="44" t="s">
        <v>8</v>
      </c>
      <c r="FP24" s="142">
        <f>SUM(FP9:FP23)</f>
        <v>4708727.5104028154</v>
      </c>
      <c r="FQ24" s="41">
        <f>SUM(FQ9:FQ23)</f>
        <v>0</v>
      </c>
      <c r="FR24" s="80">
        <f>FL24-FQ24</f>
        <v>0</v>
      </c>
      <c r="FS24" s="43">
        <f>(SUMIF(FT9:FT23,"&lt;1")+1)/(COUNTIFS(FT9:FT23,"&lt;1")+1)</f>
        <v>0.56392848197387435</v>
      </c>
      <c r="FT24" s="44" t="s">
        <v>8</v>
      </c>
      <c r="FU24" s="44" t="s">
        <v>8</v>
      </c>
      <c r="FV24" s="142">
        <f>SUM(FV9:FV23)</f>
        <v>4708727.5104028154</v>
      </c>
      <c r="FW24" s="41">
        <f>SUM(FW9:FW23)</f>
        <v>0</v>
      </c>
      <c r="FX24" s="80">
        <f>FR24-FW24</f>
        <v>0</v>
      </c>
      <c r="FY24" s="43">
        <f>(SUMIF(FZ9:FZ23,"&lt;1")+1)/(COUNTIFS(FZ9:FZ23,"&lt;1")+1)</f>
        <v>0.56392848197387435</v>
      </c>
      <c r="FZ24" s="44" t="s">
        <v>8</v>
      </c>
      <c r="GA24" s="44" t="s">
        <v>8</v>
      </c>
      <c r="GB24" s="142">
        <f>SUM(GB9:GB23)</f>
        <v>4708727.5104028154</v>
      </c>
      <c r="GC24" s="41">
        <f>SUM(GC9:GC23)</f>
        <v>0</v>
      </c>
      <c r="GD24" s="80">
        <f>FX24-GC24</f>
        <v>0</v>
      </c>
      <c r="GE24" s="43">
        <f>(SUMIF(GF9:GF23,"&lt;1")+1)/(COUNTIFS(GF9:GF23,"&lt;1")+1)</f>
        <v>0.56392848197387435</v>
      </c>
      <c r="GF24" s="44" t="s">
        <v>8</v>
      </c>
      <c r="GG24" s="44" t="s">
        <v>8</v>
      </c>
      <c r="GH24" s="142">
        <f>SUM(GH9:GH23)</f>
        <v>4708727.5104028154</v>
      </c>
      <c r="GI24" s="41">
        <f>SUM(GI9:GI23)</f>
        <v>0</v>
      </c>
      <c r="GJ24" s="169">
        <f>SUM(GJ9:GJ23)</f>
        <v>17676771.939999998</v>
      </c>
      <c r="GK24" s="171">
        <f t="shared" si="222"/>
        <v>30477192.999999996</v>
      </c>
      <c r="GL24" s="208" t="s">
        <v>8</v>
      </c>
      <c r="GM24" s="209">
        <f>GM9+GM10+GM11+GM12+GM13+GM14+GM15+GM16+GM17+GM18+GM19+GM20+GM21+GM22+GM23</f>
        <v>30477192.999999996</v>
      </c>
    </row>
    <row r="26" spans="1:196" x14ac:dyDescent="0.2">
      <c r="P26" s="21"/>
    </row>
    <row r="28" spans="1:196" x14ac:dyDescent="0.2">
      <c r="GJ28" s="120"/>
      <c r="GK28" s="120"/>
    </row>
    <row r="29" spans="1:196" x14ac:dyDescent="0.2">
      <c r="M29" s="20"/>
    </row>
    <row r="31" spans="1:196" x14ac:dyDescent="0.2">
      <c r="GK31" s="120"/>
    </row>
  </sheetData>
  <protectedRanges>
    <protectedRange sqref="A9:A23" name="Диапазон3_1"/>
    <protectedRange sqref="A9:A23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Василькова</cp:lastModifiedBy>
  <cp:lastPrinted>2023-10-19T08:49:20Z</cp:lastPrinted>
  <dcterms:created xsi:type="dcterms:W3CDTF">2013-11-15T09:40:24Z</dcterms:created>
  <dcterms:modified xsi:type="dcterms:W3CDTF">2024-10-29T11:35:53Z</dcterms:modified>
</cp:coreProperties>
</file>